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0" windowWidth="15180" windowHeight="7110" tabRatio="909" activeTab="14"/>
  </bookViews>
  <sheets>
    <sheet name="мун.задание" sheetId="1" r:id="rId1"/>
    <sheet name="вспомогательная таблица" sheetId="2" r:id="rId2"/>
    <sheet name="прил.1+2" sheetId="3" r:id="rId3"/>
    <sheet name="прил.3" sheetId="4" r:id="rId4"/>
    <sheet name="прил.4" sheetId="5" r:id="rId5"/>
    <sheet name="прил.5" sheetId="6" r:id="rId6"/>
    <sheet name="прил.6" sheetId="7" r:id="rId7"/>
    <sheet name="свод " sheetId="8" r:id="rId8"/>
    <sheet name="проверка" sheetId="9" r:id="rId9"/>
    <sheet name="касса" sheetId="10" state="hidden" r:id="rId10"/>
    <sheet name="отчет 1433-2" sheetId="11" state="hidden" r:id="rId11"/>
    <sheet name="отчет1433-1" sheetId="12" state="hidden" r:id="rId12"/>
    <sheet name="1433-9мес" sheetId="13" state="hidden" r:id="rId13"/>
    <sheet name="касса 2" sheetId="14" r:id="rId14"/>
    <sheet name="1433" sheetId="15" r:id="rId15"/>
  </sheets>
  <externalReferences>
    <externalReference r:id="rId18"/>
    <externalReference r:id="rId19"/>
  </externalReferences>
  <definedNames>
    <definedName name="_xlnm.Print_Titles" localSheetId="7">'свод '!$8:$8</definedName>
    <definedName name="_xlnm.Print_Area" localSheetId="14">'1433'!$A$1:$G$155</definedName>
    <definedName name="_xlnm.Print_Area" localSheetId="1">'вспомогательная таблица'!$B$1:$T$45</definedName>
    <definedName name="_xlnm.Print_Area" localSheetId="9">'касса'!$A$1:$S$31</definedName>
    <definedName name="_xlnm.Print_Area" localSheetId="13">'касса 2'!$A$1:$T$44</definedName>
    <definedName name="_xlnm.Print_Area" localSheetId="0">'мун.задание'!$A$1:$S$241</definedName>
    <definedName name="_xlnm.Print_Area" localSheetId="10">'отчет 1433-2'!#REF!</definedName>
    <definedName name="_xlnm.Print_Area" localSheetId="2">'прил.1+2'!$B$1:$Q$81</definedName>
    <definedName name="_xlnm.Print_Area" localSheetId="7">'свод '!$A$1:$F$166</definedName>
  </definedNames>
  <calcPr fullCalcOnLoad="1"/>
</workbook>
</file>

<file path=xl/sharedStrings.xml><?xml version="1.0" encoding="utf-8"?>
<sst xmlns="http://schemas.openxmlformats.org/spreadsheetml/2006/main" count="1427" uniqueCount="474">
  <si>
    <t>количество месяцев</t>
  </si>
  <si>
    <t>k увеличения</t>
  </si>
  <si>
    <t>норматив</t>
  </si>
  <si>
    <t>начисления на оплату труда</t>
  </si>
  <si>
    <t>Расчет норматива затрат ,непосредственно связанных с оказанием муниципальной услуги</t>
  </si>
  <si>
    <t>Расчет норматива затрат ,непосредственно  не связанных с оказанием муниципальной услуги</t>
  </si>
  <si>
    <t>тариф</t>
  </si>
  <si>
    <t>объем потребления</t>
  </si>
  <si>
    <t>нормативные затраты на коммунальные услуги</t>
  </si>
  <si>
    <t>горячее водоснабжение</t>
  </si>
  <si>
    <t>тепловая  энергия</t>
  </si>
  <si>
    <t>электрическая энергия</t>
  </si>
  <si>
    <t>Нормативные затраты на коммунальные услуги</t>
  </si>
  <si>
    <t>стоимость</t>
  </si>
  <si>
    <t>количество ед. услуг</t>
  </si>
  <si>
    <t xml:space="preserve">нормативные затраты </t>
  </si>
  <si>
    <t xml:space="preserve">Нормативные затраты на содержание недвижимого имущества </t>
  </si>
  <si>
    <t xml:space="preserve">Нормативные затраты на приобретение услуг связи и приобретение транспортных услуг </t>
  </si>
  <si>
    <t xml:space="preserve">приобретение транспортных услуг </t>
  </si>
  <si>
    <t>итого затрат</t>
  </si>
  <si>
    <t>налогооблагаемая база</t>
  </si>
  <si>
    <t>ставка налога</t>
  </si>
  <si>
    <t>Нормативные затраты на уплату налогов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</si>
  <si>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</si>
  <si>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</si>
  <si>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</si>
  <si>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</si>
  <si>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</si>
  <si>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</si>
  <si>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</si>
  <si>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</si>
  <si>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</si>
  <si>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</si>
  <si>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</si>
  <si>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</si>
  <si>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</si>
  <si>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</si>
  <si>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</si>
  <si>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</si>
  <si>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</si>
  <si>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</si>
  <si>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страхованию здания</t>
  </si>
  <si>
    <t>Услуги по обследованию дымоходов</t>
  </si>
  <si>
    <t>Работы текущего ремонта здания и помещений</t>
  </si>
  <si>
    <t>- налог на имущество</t>
  </si>
  <si>
    <t>руб.</t>
  </si>
  <si>
    <t>- налог на землю</t>
  </si>
  <si>
    <t>Нормативные   затраты   на   приобретение   материальных   запасов, потребляемых в процессе оказания муниципальной услуги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</si>
  <si>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</si>
  <si>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</si>
  <si>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</si>
  <si>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затраты на компенсационные выплаты по уходу за ребенком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</si>
  <si>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</si>
  <si>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оплату труда  персонала, не принимающего непосредственное участие в оказании муниципальной услуги</t>
  </si>
  <si>
    <t>затраты на оплату труда  персонала, принимающего непосредственное участие в оказании муниципальной услуги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</si>
  <si>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</si>
  <si>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водоотведение</t>
  </si>
  <si>
    <t>холодное водоснабжение</t>
  </si>
  <si>
    <t>2. Затраты, на общехозяйственные нужды.</t>
  </si>
  <si>
    <t>итого</t>
  </si>
  <si>
    <t>интрнет</t>
  </si>
  <si>
    <t>приобретение услуг связи (абонентская плата)</t>
  </si>
  <si>
    <t>поминутная оплата</t>
  </si>
  <si>
    <t>вывоз мусора</t>
  </si>
  <si>
    <t>дератизация</t>
  </si>
  <si>
    <t>тех.обслуживание пожарной сигнализации</t>
  </si>
  <si>
    <t>Тревожная кнопка</t>
  </si>
  <si>
    <t>Утилизация ртутосодержащих отходов</t>
  </si>
  <si>
    <t>Прочие нормативные затраты на общехозяйственные нужды</t>
  </si>
  <si>
    <t xml:space="preserve">приобретение услуг связи </t>
  </si>
  <si>
    <t xml:space="preserve">Всего </t>
  </si>
  <si>
    <t xml:space="preserve"> </t>
  </si>
  <si>
    <t>транспортный налог</t>
  </si>
  <si>
    <t>экологический сбор</t>
  </si>
  <si>
    <t>КОСГУ</t>
  </si>
  <si>
    <t>смета</t>
  </si>
  <si>
    <t>отклонение</t>
  </si>
  <si>
    <t>всего</t>
  </si>
  <si>
    <t xml:space="preserve">3. Затраты на содержание движимого имущества </t>
  </si>
  <si>
    <t>Тех.обслуживание</t>
  </si>
  <si>
    <t>Текущий ремонт</t>
  </si>
  <si>
    <t>ГСМ</t>
  </si>
  <si>
    <t>Зап.части</t>
  </si>
  <si>
    <t>Лакокрасочные материалы</t>
  </si>
  <si>
    <t>Автострахование</t>
  </si>
  <si>
    <t xml:space="preserve">Нормативные затраты на содержание движимого имущества </t>
  </si>
  <si>
    <t>Нормативные затраты на материальные запасы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</si>
  <si>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</si>
  <si>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 xml:space="preserve"> Прочие нормативные затраты на содержание  движимого имущества</t>
  </si>
  <si>
    <t>гос.пошлина</t>
  </si>
  <si>
    <t>нормативные затраты на коммунальные услуги с учетом увеличения</t>
  </si>
  <si>
    <t>Проверка</t>
  </si>
  <si>
    <t>Определение нормативных затрат на оказание муниципальной услуги</t>
  </si>
  <si>
    <t>1. Затраты, непосредственно связанные с оказанием муниципальной услуги. (приложение1)</t>
  </si>
  <si>
    <t>Всего по учреждению</t>
  </si>
  <si>
    <t>Всего затраты на общехозяйственные нужды</t>
  </si>
  <si>
    <t>Объем муниципальных услуг в натуральных показателях</t>
  </si>
  <si>
    <t>приложение 1</t>
  </si>
  <si>
    <t>приложение 2</t>
  </si>
  <si>
    <t>приложение 3</t>
  </si>
  <si>
    <t>приложение 4</t>
  </si>
  <si>
    <t>ед.измерения</t>
  </si>
  <si>
    <t>м3</t>
  </si>
  <si>
    <t>гКал</t>
  </si>
  <si>
    <t>кВат</t>
  </si>
  <si>
    <t>Гл.бухгалтер ____________________________________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</si>
  <si>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</si>
  <si>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2.6 Нормативные затраты на материальные запасы (приложение3)</t>
  </si>
  <si>
    <t>2.3. Затраты на приобретение услуг связи (приложение3)</t>
  </si>
  <si>
    <t>2.2 Затраты на содержание недвижимого имущества (приложение3)</t>
  </si>
  <si>
    <t>2.9. Приобретение коммунальных услуг (приложение 5)</t>
  </si>
  <si>
    <t>3 Нормативные затраты на содержание имущества  (приложение 6)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</si>
  <si>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</si>
  <si>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</si>
  <si>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тариф (руб.)</t>
  </si>
  <si>
    <t>2.5 Нормативные затраты на техническое обслуживание и текущий ремонт объектов движимого имущества (приложение 4)</t>
  </si>
  <si>
    <t>2.4.Прочие нормативные затраты на общехозяйственные нужды (приложение3)</t>
  </si>
  <si>
    <t>приложение 6</t>
  </si>
  <si>
    <t>Объем приобретаемых муниципальных услуг (выполняемых работ) в натуральных показателях</t>
  </si>
  <si>
    <t xml:space="preserve"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</t>
  </si>
  <si>
    <t>Заведующая_________________________________</t>
  </si>
  <si>
    <t>наименование</t>
  </si>
  <si>
    <t xml:space="preserve">питание детей </t>
  </si>
  <si>
    <t>Объем прочих затрат на общехозяйственные нужды</t>
  </si>
  <si>
    <t xml:space="preserve"> объем прочих затрат на общехозяйственные нужды</t>
  </si>
  <si>
    <t>медосмотр</t>
  </si>
  <si>
    <t>мед. осмотр</t>
  </si>
  <si>
    <t>электрическая энергия (свободные нерегулируемые цены) сумма</t>
  </si>
  <si>
    <t>прочее</t>
  </si>
  <si>
    <t>прочие</t>
  </si>
  <si>
    <t>итого прочие</t>
  </si>
  <si>
    <t>1-с сопровождение</t>
  </si>
  <si>
    <t>Г.М. Левченко</t>
  </si>
  <si>
    <t>ВСЕГО СМЕТА</t>
  </si>
  <si>
    <t>итого по 3 блоку</t>
  </si>
  <si>
    <t>Налоги</t>
  </si>
  <si>
    <t>Коммунальные услуги</t>
  </si>
  <si>
    <t>итого по 1 блоку</t>
  </si>
  <si>
    <t>итого по 2 блоку</t>
  </si>
  <si>
    <t>итого по косгу 226</t>
  </si>
  <si>
    <t>итого по косгу 225</t>
  </si>
  <si>
    <t>затраты на  начисления на выплаты по оплате труда  персонала, принимающего непосредственное участие в оказании муниципальной услуги</t>
  </si>
  <si>
    <t>затраты на оплату труда  персонала,  принимающего непосредственное участие в оказании муниципальной услуги</t>
  </si>
  <si>
    <t>4 квартал</t>
  </si>
  <si>
    <t>3 квартал</t>
  </si>
  <si>
    <t>2 квартал</t>
  </si>
  <si>
    <t>1 квартал</t>
  </si>
  <si>
    <t>месяц</t>
  </si>
  <si>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</si>
  <si>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</si>
  <si>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</si>
  <si>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</si>
  <si>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</si>
  <si>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</si>
  <si>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</si>
  <si>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</si>
  <si>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</si>
  <si>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</si>
  <si>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</si>
  <si>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</si>
  <si>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</t>
    </r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</si>
  <si>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</si>
  <si>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</si>
  <si>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</si>
  <si>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</si>
  <si>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Источник финансирования</t>
  </si>
  <si>
    <t>Способ установления цены муниципальной услуги</t>
  </si>
  <si>
    <t>Предмет (содержание) муниципальной услуги</t>
  </si>
  <si>
    <t>Орган местного самоуправления, ответственный за организацию предоставления муниципальной услуги</t>
  </si>
  <si>
    <t>Потребитель муниципальной услуги</t>
  </si>
  <si>
    <t>Наименование вопроса местного значения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</si>
  <si>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</si>
  <si>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РГ-А-2000</t>
  </si>
  <si>
    <t xml:space="preserve">Обеспечение образовательно-воспитательного процесса педагогическим, руководящим, административно-хозяйственным, учебно-вспомогательным и прочим персоналом.
Материально-техническое обеспечение образовательно-воспитательного процесса реализации общеразвивающих, коррекционных программ в группах разных возрастных категорий и времени пребывания детей в ДОУ.
Предоставление детям дошкольного возраста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электро- и водоснабжения, услугами водоотведения.
Организация питания детей и обеспечение материальными запасами, не относящимися к основным средствам.
</t>
  </si>
  <si>
    <t>1 воспитанник</t>
  </si>
  <si>
    <t>бюджет города Пензы</t>
  </si>
  <si>
    <t>нормативный, метод индексации, программно-целевой метод</t>
  </si>
  <si>
    <t>Управление образования города Пензы</t>
  </si>
  <si>
    <t>Население дошкольного возраста (1-7 лет)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</si>
  <si>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
Финансирование расходов, связанных с предоставлением компенсации части родительской# (компенсации) за содержание детей в муниципальных образовательных учреждениях, реализующих программу дошкольного образования, является расходным обязательством субъектов Российской Федерации.
</t>
  </si>
  <si>
    <t xml:space="preserve">1). Конституция РФ, ст.43.;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Российской Федерации от 10.07.1992 N 3266-1 "Об образовании", статья 5, пункт 3; статья 31, пункт 1, подпункты 2, 4.; статья 52.1. пункты 1, 2; статья 52.2. пункт 3 (с изм. и доп.);
4).Закон РФ от 24.07.1998 г. N 124-ФЗ "Об основных гарантиях прав ребенка в Российской Федерации", ст. 13 (с изм. и доп.);
5) Устав города Пензы (с изм. и доп.), принят решением Пензенской городской Думы от 30.06.2005 N 130-12/4: статья 5, пункт 1, подпункт 13, статья 39, пункт 1. подпункты 1.1., 1.2.а, 1.6., 1.9., 1.8., 1.20.;
6).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2.2.2., 2.2.4., 2.2.5., 2.2.6., 2.2.9.;
7). Положение о порядке комплектования муниципальных образовательных учреждениях# города Пензы, реализующих общеобразовательные программы дошкольного образования, утвержденного приказом Управления образования от 29.05.2007 года N 199/1.;
8). Постановление Правительства РФ от 20.12.2006 г. N 849 "О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образования";
9). Постановление Правительства Пензенской области от 26.02.2007 года N 125-пП "Об утверждении порядка выплаты компенсации родителям (законным представителям) за содержание детей в государственных и муниципальных дошкольных образовательных учреждениях, реализующих основную общеобразовательную программу дошкольного образования";
10). Постановление Главы администрации города Пензы от 13.02.2006 года N 113 "Об упорядочении размера платы, взимаемой за содержание детей в муниципальных дошкольных образовательных учреждениях г. Пензы" (с изм. и доп.)
11). Постановление главы администрации города Пензы от 27.10.2008 N 1805 "Об установлении размера платы, взимаемой с родителей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образования";
12). Положение о порядке взимания с родителей (законных представителей) платы за содержание детей и выплаты компенсации родителям (законным представителям) части родительской платы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образования, утвержденное приказам# Управления образования города Пензы от 04.06.2007 года N 206.
</t>
  </si>
  <si>
    <t>3. Правовые основания предоставления муниципальной услуги:</t>
  </si>
  <si>
    <t>Наименование расходного обязательства в соответствии с реестром раходных обязательств города Пензы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</si>
  <si>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</si>
  <si>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</si>
  <si>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</si>
  <si>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</si>
  <si>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</si>
  <si>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</si>
  <si>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</si>
  <si>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Финансированиерасходов, связанных с предоставлением компенсации части родительской (компенсации) за содержание детей в муниципальныхобразовательных учреждениях, реализующих программу дошкольногообразования, является расходным обязательствомсубъектов Российской Федерации 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</si>
  <si>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</si>
  <si>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</si>
  <si>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</si>
  <si>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</si>
  <si>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4. Плановый объем оказываемых муниципальных услуг (в натуральных показателях):</t>
  </si>
  <si>
    <t>Наименование муниципальной услуги (элемента детацизации)</t>
  </si>
  <si>
    <t>Объем оказания услуги по месяцам &lt;*&gt;</t>
  </si>
  <si>
    <t>Объем услуг за год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</si>
  <si>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 xml:space="preserve"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  </t>
    </r>
    <r>
      <rPr>
        <sz val="10"/>
        <color indexed="8"/>
        <rFont val="Times New Roman"/>
        <family val="1"/>
      </rPr>
      <t>в том числе:</t>
    </r>
  </si>
  <si>
    <t>Затраты, непосредственно связанные с оказанием муниципальной услуги, &lt;воспитанники&gt;</t>
  </si>
  <si>
    <t>Затраты, на общехозяйственные нужды, &lt;воспитанники&gt;</t>
  </si>
  <si>
    <t>Затраты на содержание имущества, &lt;воспитанники&gt;</t>
  </si>
  <si>
    <t>&lt;*&gt;</t>
  </si>
  <si>
    <t>по кварталам, в случае выбора квартальной детацизации объема услуг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</si>
  <si>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</si>
  <si>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 Плановый объем оказываемых муниципальных услуг (в стоимостных показателях).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</si>
  <si>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</si>
  <si>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Год</t>
  </si>
  <si>
    <t>Объем услуг за год, руб.</t>
  </si>
  <si>
    <t xml:space="preserve">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</si>
  <si>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</si>
  <si>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</si>
  <si>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Объем оказания услуги по месяцам &lt;*&gt;, руб.</t>
  </si>
  <si>
    <t>Норматив затрат на единицу услуги</t>
  </si>
  <si>
    <t>Сумма затрат на предоставление услуги</t>
  </si>
  <si>
    <t>Затраты на содержание имущества, &lt;рубли&gt;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</si>
  <si>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</si>
  <si>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</si>
  <si>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</si>
  <si>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r>
      <t>Совокупный объем предоставления услуги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</si>
  <si>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</si>
  <si>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</si>
  <si>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</si>
  <si>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</si>
  <si>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</si>
  <si>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</si>
  <si>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</si>
  <si>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>Ведомственная целевая программа развития "Дошкольное детство (2011-2013 гг.)"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</si>
  <si>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</si>
  <si>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</si>
  <si>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</si>
  <si>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</si>
  <si>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Ограничение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</si>
  <si>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</si>
  <si>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</si>
  <si>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</si>
  <si>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</si>
  <si>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</si>
  <si>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</si>
  <si>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</si>
  <si>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Поддержание температуры воздуха в Учреждении</t>
  </si>
  <si>
    <t xml:space="preserve">+21 - +24 – 
в групповом помещении,                +19 - +20 – 
в спальном помещении
</t>
  </si>
  <si>
    <t xml:space="preserve">Предупреждение травматизма детей </t>
  </si>
  <si>
    <t>отсутствие травм</t>
  </si>
  <si>
    <t>Внедрение комплекса закаливающих мероприятий с использованием природных факторов (вода, воздух, солнечные  лучи)</t>
  </si>
  <si>
    <t>не менее 3 видов</t>
  </si>
  <si>
    <t>Использование в режиме дня разных форм организаций двигательной активности детей  (утренняя гимнастика, физкультурные занятия, физкультминутки, корригирующая гимнастика, дни здоровья, физкультурные досуги и развлечения, подвижные игры, элементы спортивных игр, кружки физкультурной направленности, индивидуальная работа)</t>
  </si>
  <si>
    <t>не менее 5 форм</t>
  </si>
  <si>
    <t>6.2. Годовые показатели оценки качества муниципальной услуги &lt;**&gt;</t>
  </si>
  <si>
    <t>Общий уровень укомплектованности кадрами по штатному   расписанию</t>
  </si>
  <si>
    <t>не менее 95%</t>
  </si>
  <si>
    <t>Использование детской мебели с учетом антропометрических показателей</t>
  </si>
  <si>
    <t>не менее 2 размеров</t>
  </si>
  <si>
    <t>Снижение среднегодового количества дней,  пропущенных одним ребёнком по болезни</t>
  </si>
  <si>
    <t>не более 14,5 дня</t>
  </si>
  <si>
    <t>Доля потребителей Услуги, удовлетворённых условиями и качеством предоставления Услуги)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</si>
  <si>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</si>
  <si>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</si>
  <si>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</si>
  <si>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</si>
  <si>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</si>
  <si>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Ожидаемые результаты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</si>
  <si>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образовательного учреждении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</si>
  <si>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</si>
  <si>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</si>
  <si>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</si>
  <si>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</si>
  <si>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</si>
  <si>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В соответствии со стандартом качества предоставляемой услуги, согласно постановления Администрации города Пензы № 682 от 19.05.2009 г.ОБ УТВЕРЖДЕНИИ СТАНДАРТА КАЧЕСТВА ПРЕДОСТАВЛЕНИЯ МУНИЦИПАЛЬНОЙ УСЛУГИ " ОРГАНИЗАЦИЯ ПРЕДОСТАВЛЕНИЯ ОБЩЕДОСТУПНОГО БЕСПАТНОГО ДОШКОЛЬНОГО ОБРАЗОВАНИЯ И ВОСПИТАНИЯ, СОДЕРЖАНИЕ РЕБЕНКА В ДОШКОЛЬНОМ ОБРАЗОВАТЕЛЬНОМ УЧРЕЖДЕНИИ" НА ТЕРРИТОРИИ ГОРОДА ПЕНЗЫ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</si>
  <si>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</si>
  <si>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</si>
  <si>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</si>
  <si>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11. Порядок контроля за исполнением муниципального задания, в том числе, условия и порядок его досрочного прекращения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</si>
  <si>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</si>
  <si>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 Требования к отчетности об исполнении муниципального задания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</si>
  <si>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</si>
  <si>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</si>
  <si>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</si>
  <si>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</si>
  <si>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</si>
  <si>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</si>
  <si>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Начальник Управления образования</t>
  </si>
  <si>
    <t>(Ф.И.О.)</t>
  </si>
  <si>
    <t>Дата</t>
  </si>
  <si>
    <t>Подпись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</si>
  <si>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</si>
  <si>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</si>
  <si>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</si>
  <si>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</si>
  <si>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. 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</si>
  <si>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</si>
  <si>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</si>
  <si>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</si>
  <si>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</si>
  <si>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</si>
  <si>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</si>
  <si>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</si>
  <si>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</si>
  <si>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</si>
  <si>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</si>
  <si>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</si>
  <si>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</si>
  <si>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</si>
  <si>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</si>
  <si>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</si>
  <si>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</si>
  <si>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</si>
  <si>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>Затраты, на общехозяйственные нужды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</si>
  <si>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</si>
  <si>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</si>
  <si>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 xml:space="preserve">Мероприятия по выполнению наказов избирателей в области дошкольного образования, поступивших депутатам Пензенской городской Думы </t>
  </si>
  <si>
    <t>Долгосрочная целевая программа Энергосбережения и повышения энергоэффективности в городе Пензе на период 2010-2020 годов</t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</si>
  <si>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</si>
  <si>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</si>
  <si>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</si>
  <si>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</si>
  <si>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</si>
  <si>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</si>
  <si>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</si>
  <si>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</si>
  <si>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</si>
  <si>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</si>
  <si>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</si>
  <si>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</si>
  <si>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+21-+24 в групповом помещении, +19-+20 в спальном помещении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</si>
  <si>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</si>
  <si>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</si>
  <si>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</si>
  <si>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</si>
  <si>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</si>
  <si>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</si>
  <si>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</si>
  <si>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</si>
  <si>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</si>
  <si>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*</t>
  </si>
  <si>
    <t>кол-во педагогических ставок</t>
  </si>
  <si>
    <t>Оклад с учетом k специфики</t>
  </si>
  <si>
    <t>k стимулирования</t>
  </si>
  <si>
    <t>кол-во ставок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</si>
  <si>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</si>
  <si>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</si>
  <si>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</si>
  <si>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ФЗП в мес</t>
  </si>
  <si>
    <t>без стимуляции</t>
  </si>
  <si>
    <t>стимуляция</t>
  </si>
  <si>
    <t xml:space="preserve">вопитатели </t>
  </si>
  <si>
    <t>ставки</t>
  </si>
  <si>
    <t>т/о бассейна</t>
  </si>
  <si>
    <t>затраты на  начисления на выплаты по оплате труда  персонала,не  принимающего непосредственное участие в оказании муниципальной услуги</t>
  </si>
  <si>
    <r>
      <t>на период с</t>
    </r>
    <r>
      <rPr>
        <u val="single"/>
        <sz val="12"/>
        <rFont val="Times New Roman"/>
        <family val="1"/>
      </rPr>
      <t xml:space="preserve"> 01.01.2013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31.12.2013 г.</t>
    </r>
  </si>
  <si>
    <t>2013год</t>
  </si>
  <si>
    <t>Заведующая МБДОУ № 106</t>
  </si>
  <si>
    <t xml:space="preserve">муниципальное бюджетное дошкольное образовательное учреждение </t>
  </si>
  <si>
    <t>детский сад компенсирующего вида № 106 г.Пензы</t>
  </si>
  <si>
    <t>кассовые расходы по  __МБДОУ детский сад №  106 по месяцам.</t>
  </si>
  <si>
    <r>
      <t>за 2</t>
    </r>
    <r>
      <rPr>
        <u val="single"/>
        <sz val="12"/>
        <rFont val="Times New Roman"/>
        <family val="1"/>
      </rPr>
      <t xml:space="preserve"> квартал 2013 год</t>
    </r>
  </si>
  <si>
    <r>
      <t>за 1</t>
    </r>
    <r>
      <rPr>
        <u val="single"/>
        <sz val="12"/>
        <rFont val="Times New Roman"/>
        <family val="1"/>
      </rPr>
      <t xml:space="preserve"> квартал 2013 год</t>
    </r>
  </si>
  <si>
    <r>
      <t>за 3</t>
    </r>
    <r>
      <rPr>
        <u val="single"/>
        <sz val="12"/>
        <rFont val="Times New Roman"/>
        <family val="1"/>
      </rPr>
      <t xml:space="preserve"> квартал 2013 год</t>
    </r>
  </si>
  <si>
    <t>п/п находятся в казначействе</t>
  </si>
  <si>
    <t>планируется выполнить в полном объеме муниципальное задание за 6 месяцев 2013 года в течение 3 квартала 2013 года</t>
  </si>
  <si>
    <t>удовлнтворительное</t>
  </si>
  <si>
    <t>планируется выполнить в полном объеме муниципальное задание за 9 месяцев 2013 года в течение 4 квартала 2013 года</t>
  </si>
  <si>
    <t>удовлетворительное</t>
  </si>
  <si>
    <t>Затраты, непосредственно связанные с оказанием муниципальной услуги, за счет бюджета города &lt;рубли&gt;</t>
  </si>
  <si>
    <t>Затраты, на общехозяйственные нужды,за счет бюджета города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</si>
  <si>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</si>
  <si>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 за счет бюджета Пензенской области &lt;рубли&gt;</t>
  </si>
  <si>
    <t>бюджет Пензенской области</t>
  </si>
  <si>
    <t>бюджет города</t>
  </si>
  <si>
    <t>хоз. Расходы</t>
  </si>
  <si>
    <t>прочие расходы</t>
  </si>
  <si>
    <t>учебные расходы</t>
  </si>
  <si>
    <t>перевыпуск сетификата ЭЦП</t>
  </si>
  <si>
    <t>лабораторные исследования</t>
  </si>
  <si>
    <t>1.1 В том числе затраты, непосредственно связанные с оказанием муниципальной услуги. (за счет бюджета Пензенской области)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</si>
  <si>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</si>
  <si>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доп. проф. образование педагогических работников</t>
  </si>
  <si>
    <t xml:space="preserve"> затраты на доп. проф. образование педагогических работников</t>
  </si>
  <si>
    <t>Обслуживание 1С бухгалтерии</t>
  </si>
  <si>
    <t>Голодяев Ю.А.</t>
  </si>
  <si>
    <t>2.1.2 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</si>
  <si>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муниципальное дошкольное образовательное учреждение детский сад комбинированниго вида № 120  г. Пензы</t>
  </si>
  <si>
    <t>АПС</t>
  </si>
  <si>
    <t>тех обслуживание приборов учета ТЭР</t>
  </si>
  <si>
    <t>тех.обслуживание кнопки пожарной сигнализации</t>
  </si>
  <si>
    <t>Долгосрочная целевая программа "Дошкольное детство (2014-2016 гг)"</t>
  </si>
  <si>
    <t>Муниципальное бюджетное дошкольное учереждение                                                                                     детский сад комбинированного вида №    120        г. Пензы</t>
  </si>
  <si>
    <t>Заведующая МБДОУ № 120        г.Пензы</t>
  </si>
  <si>
    <t>Сорокина С.В.</t>
  </si>
  <si>
    <t>Неупокоева Е.В.</t>
  </si>
  <si>
    <t>т/о оборудования</t>
  </si>
  <si>
    <t>охрана (кредит задолженность за декабрь 2013 года)</t>
  </si>
  <si>
    <t>тех.обслуживание кнопки пожарной сигнализации (кредит задолженность за декабрь 2013 года)</t>
  </si>
  <si>
    <t>АПС (кредит задолженность за декабрь 2013 года)</t>
  </si>
  <si>
    <t>электронная отчетность</t>
  </si>
  <si>
    <t>перевыпуск ЭЦП</t>
  </si>
  <si>
    <t>т/о вентиляции</t>
  </si>
  <si>
    <t>Е.В. Неупокоева</t>
  </si>
  <si>
    <t>1.2 В том числе затраты, непосредственно связанные с оказанием муниципальной услуги. (за счет бюджета города)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</si>
  <si>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</si>
  <si>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</si>
  <si>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проектирование узла ХВС</t>
  </si>
  <si>
    <t>перекатка пожарного рукава</t>
  </si>
  <si>
    <t>обследование т/с вентиляции</t>
  </si>
  <si>
    <t>субсидия</t>
  </si>
  <si>
    <t>субвенция</t>
  </si>
  <si>
    <t>поверка монометроа</t>
  </si>
  <si>
    <t>ремонт окон, дверей, вентиляции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</si>
  <si>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города)</t>
  </si>
  <si>
    <t>Определение нормативных затрат по  __МБДОУ детский сад № 120 г. Пензы по месяцам.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</si>
  <si>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</si>
  <si>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</si>
  <si>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Налог на землю</t>
  </si>
  <si>
    <t>Налог на имущество</t>
  </si>
  <si>
    <t>возмещение коммунальных услуг</t>
  </si>
  <si>
    <t xml:space="preserve">тех.обслуживание сигнализации </t>
  </si>
  <si>
    <t>т/о зданий(лифты, котельная, видеонаблюдение)</t>
  </si>
  <si>
    <t>т/о средств радиомодема</t>
  </si>
  <si>
    <t>рентген</t>
  </si>
  <si>
    <t>утилизация отходов (ртутосодержащие лампы)</t>
  </si>
  <si>
    <t>тревожная кнопка</t>
  </si>
  <si>
    <t>Хозяйственные товары</t>
  </si>
  <si>
    <t>Строительные материалы</t>
  </si>
  <si>
    <t>Оптимизация и расширение сети дошкольных образовательных учреждений (предоставление дополнительных мест)</t>
  </si>
  <si>
    <t>Организация дотационного, бесплатного и льготного питания дошкольников</t>
  </si>
  <si>
    <t>Привидение зданий, сооружений и территории дошкольных образовательных учреждений в соответствие с современными требованиями и нормами</t>
  </si>
  <si>
    <t>Определение нормативных затрат по  __МБДОУ детский сад № 120   по месяцам.</t>
  </si>
  <si>
    <t>итого по блоку 1</t>
  </si>
  <si>
    <t>Муниципальное бюджетное дошкольное образовательное учреждение детский сад комбинированного вида № 120 г. Пензы</t>
  </si>
  <si>
    <t>Затраты, непосредственно связанные с оказанием муниципальной услуги за счет бюджета Пензенской области</t>
  </si>
  <si>
    <t>Затраты, на общехозяйственные нужды за счет бюджета Пензенской области</t>
  </si>
  <si>
    <t>Затраты, на общехозяйственные нужды за счет бюджета города Пензы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</si>
  <si>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горда Пензы, на 2014-2016 годы"</t>
  </si>
  <si>
    <t>Ведомственная целевая программа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 Управления образования города Пензы и обеспечение их безопасности на 2014-2016 годы"</t>
  </si>
  <si>
    <t>Мероприятия по выполнению наказов избирателей, поступивших депутатам Пензенской городской Думы</t>
  </si>
  <si>
    <t>Общий уровень укомплектованности кадрами по штатному расписанию</t>
  </si>
  <si>
    <t>24</t>
  </si>
  <si>
    <t>2 размера</t>
  </si>
  <si>
    <t>Снижение среднегодового количества дней, пропущенных одним ребенком по болезни</t>
  </si>
  <si>
    <t>14</t>
  </si>
  <si>
    <t>3 вида</t>
  </si>
  <si>
    <t>Использование в режиме дня разных форм огранизации двигательной активности детей</t>
  </si>
  <si>
    <t>Доля потребителей Услуги, удовлетвореннных условиями и качеством предоставления Услуги</t>
  </si>
  <si>
    <t>2014год</t>
  </si>
  <si>
    <t>Состав и характеристика имущества используемого в целях выполнения муниципального задания можно характеризовать как удовлетворительное</t>
  </si>
  <si>
    <t>Заведующая МБДОУ 120 г. Пензы</t>
  </si>
  <si>
    <t>С.В. Сорокина</t>
  </si>
  <si>
    <t>+</t>
  </si>
  <si>
    <t>т/о видеонаблюдения</t>
  </si>
  <si>
    <t>т/о огнетушителей</t>
  </si>
  <si>
    <t>испытание пожарных рукавов</t>
  </si>
  <si>
    <t>проверка работоспособности внутреннего противопожарного водопровода</t>
  </si>
  <si>
    <t>т/о системы управления контроля доступа</t>
  </si>
  <si>
    <t>интернет</t>
  </si>
  <si>
    <t>заправка картриджей</t>
  </si>
  <si>
    <t>Мероприятия по выполнению наказов избирателей, поступивших депутатам Пензенской городской Думы по учреждениям образования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</si>
  <si>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учреждениях.</t>
  </si>
  <si>
    <t>Затраты, непосредственно не связанные с оказанием муниципальной услуги за счет бюджета города Пензы</t>
  </si>
  <si>
    <t xml:space="preserve"> 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</si>
  <si>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Ведомственная целевая программа "Дошкольное детство (2014-2016 гг.)"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</si>
  <si>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</si>
  <si>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перезаряд и испытание огнетушителей</t>
  </si>
  <si>
    <t>поверка весов</t>
  </si>
  <si>
    <t>ремонт гладильного катка</t>
  </si>
  <si>
    <t>поверка приборов учета тепловой энергии</t>
  </si>
  <si>
    <t>ремонт АКБ</t>
  </si>
  <si>
    <t>дез.средства</t>
  </si>
  <si>
    <t>мягкий инвентарь</t>
  </si>
  <si>
    <r>
      <t xml:space="preserve">за </t>
    </r>
    <r>
      <rPr>
        <u val="single"/>
        <sz val="12"/>
        <rFont val="Times New Roman"/>
        <family val="1"/>
      </rPr>
      <t xml:space="preserve"> III квартал 2015 года</t>
    </r>
  </si>
  <si>
    <t>отсутствие финансирования по ст.  225, ст. 226, ст. 310, ст.340</t>
  </si>
  <si>
    <t xml:space="preserve">по итогам III квартала 2015 года в  МБДОУ 120 г. Пензы  списочный состав детей составил   899 чел.,  </t>
  </si>
  <si>
    <t>В  декабре 2015г. Планируется открытие 10 дополнительных групп в основном филиале МБДОУ 120 г. Пензы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</si>
  <si>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01.01.2015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01.10.2015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</si>
</sst>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#,##0.00000"/>
    <numFmt numFmtId="183" formatCode="0.0"/>
    <numFmt numFmtId="184" formatCode="0.00000000"/>
    <numFmt numFmtId="185" formatCode="#,##0.0000"/>
    <numFmt numFmtId="186" formatCode="#,##0.000000"/>
  </numFmts>
  <fonts count="9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u val="single"/>
      <sz val="12"/>
      <name val="Verdana"/>
      <family val="2"/>
    </font>
    <font>
      <u val="single"/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0"/>
      <color theme="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BF1D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3" fillId="0" borderId="0">
      <alignment/>
      <protection/>
    </xf>
    <xf numFmtId="0" fontId="1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" fontId="0" fillId="0" borderId="0" xfId="0" applyNumberFormat="1" applyFont="1" applyAlignment="1">
      <alignment/>
    </xf>
    <xf numFmtId="10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5" fillId="36" borderId="10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5" fillId="36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 wrapText="1"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2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" fontId="5" fillId="0" borderId="2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wrapText="1"/>
    </xf>
    <xf numFmtId="0" fontId="8" fillId="35" borderId="18" xfId="0" applyFont="1" applyFill="1" applyBorder="1" applyAlignment="1">
      <alignment wrapText="1"/>
    </xf>
    <xf numFmtId="0" fontId="5" fillId="35" borderId="19" xfId="0" applyFont="1" applyFill="1" applyBorder="1" applyAlignment="1">
      <alignment horizontal="center" vertical="top" wrapText="1"/>
    </xf>
    <xf numFmtId="4" fontId="5" fillId="35" borderId="20" xfId="0" applyNumberFormat="1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8" fillId="35" borderId="18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35" borderId="18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7" borderId="18" xfId="0" applyFont="1" applyFill="1" applyBorder="1" applyAlignment="1">
      <alignment vertical="top" wrapText="1"/>
    </xf>
    <xf numFmtId="0" fontId="5" fillId="37" borderId="19" xfId="0" applyFont="1" applyFill="1" applyBorder="1" applyAlignment="1">
      <alignment vertical="top" wrapText="1"/>
    </xf>
    <xf numFmtId="0" fontId="5" fillId="37" borderId="20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vertical="top" wrapText="1"/>
    </xf>
    <xf numFmtId="4" fontId="5" fillId="36" borderId="15" xfId="0" applyNumberFormat="1" applyFont="1" applyFill="1" applyBorder="1" applyAlignment="1">
      <alignment horizontal="center" vertical="top" wrapText="1"/>
    </xf>
    <xf numFmtId="4" fontId="5" fillId="36" borderId="17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vertical="top" wrapText="1"/>
    </xf>
    <xf numFmtId="4" fontId="5" fillId="35" borderId="11" xfId="0" applyNumberFormat="1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6" borderId="19" xfId="0" applyFont="1" applyFill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4" fontId="5" fillId="36" borderId="20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vertical="top" wrapText="1"/>
    </xf>
    <xf numFmtId="4" fontId="5" fillId="34" borderId="20" xfId="0" applyNumberFormat="1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center" vertical="top" wrapText="1"/>
    </xf>
    <xf numFmtId="4" fontId="5" fillId="33" borderId="25" xfId="0" applyNumberFormat="1" applyFont="1" applyFill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4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8" borderId="18" xfId="0" applyFont="1" applyFill="1" applyBorder="1" applyAlignment="1">
      <alignment vertical="top" wrapText="1"/>
    </xf>
    <xf numFmtId="0" fontId="5" fillId="38" borderId="19" xfId="0" applyFont="1" applyFill="1" applyBorder="1" applyAlignment="1">
      <alignment horizontal="center" vertical="top" wrapText="1"/>
    </xf>
    <xf numFmtId="10" fontId="5" fillId="38" borderId="19" xfId="0" applyNumberFormat="1" applyFont="1" applyFill="1" applyBorder="1" applyAlignment="1">
      <alignment horizontal="center" vertical="top" wrapText="1"/>
    </xf>
    <xf numFmtId="2" fontId="5" fillId="38" borderId="19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12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5" fillId="0" borderId="30" xfId="0" applyFont="1" applyBorder="1" applyAlignment="1">
      <alignment wrapText="1"/>
    </xf>
    <xf numFmtId="4" fontId="0" fillId="0" borderId="10" xfId="0" applyNumberFormat="1" applyBorder="1" applyAlignment="1" applyProtection="1">
      <alignment/>
      <protection locked="0"/>
    </xf>
    <xf numFmtId="0" fontId="3" fillId="39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3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7" fillId="0" borderId="16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80" fillId="0" borderId="0" xfId="53" applyFont="1">
      <alignment/>
      <protection/>
    </xf>
    <xf numFmtId="0" fontId="81" fillId="0" borderId="0" xfId="53" applyFont="1" applyAlignment="1">
      <alignment horizontal="right"/>
      <protection/>
    </xf>
    <xf numFmtId="0" fontId="80" fillId="0" borderId="0" xfId="53" applyFont="1" applyBorder="1">
      <alignment/>
      <protection/>
    </xf>
    <xf numFmtId="0" fontId="82" fillId="0" borderId="12" xfId="53" applyFont="1" applyBorder="1" applyAlignment="1">
      <alignment horizontal="center" vertical="center" wrapText="1"/>
      <protection/>
    </xf>
    <xf numFmtId="0" fontId="83" fillId="0" borderId="0" xfId="53" applyFont="1" applyAlignment="1">
      <alignment vertical="top" wrapText="1"/>
      <protection/>
    </xf>
    <xf numFmtId="0" fontId="82" fillId="0" borderId="12" xfId="53" applyFont="1" applyBorder="1" applyAlignment="1">
      <alignment vertical="center" wrapText="1"/>
      <protection/>
    </xf>
    <xf numFmtId="0" fontId="82" fillId="0" borderId="0" xfId="53" applyFont="1" applyBorder="1" applyAlignment="1">
      <alignment vertical="center" wrapText="1"/>
      <protection/>
    </xf>
    <xf numFmtId="0" fontId="84" fillId="0" borderId="12" xfId="53" applyFont="1" applyBorder="1" applyAlignment="1">
      <alignment vertical="top" wrapText="1"/>
      <protection/>
    </xf>
    <xf numFmtId="0" fontId="84" fillId="0" borderId="32" xfId="53" applyFont="1" applyBorder="1" applyAlignment="1">
      <alignment vertical="top" wrapText="1"/>
      <protection/>
    </xf>
    <xf numFmtId="0" fontId="84" fillId="0" borderId="12" xfId="53" applyFont="1" applyBorder="1" applyAlignment="1">
      <alignment wrapText="1"/>
      <protection/>
    </xf>
    <xf numFmtId="0" fontId="84" fillId="0" borderId="0" xfId="53" applyFont="1" applyAlignment="1">
      <alignment wrapText="1"/>
      <protection/>
    </xf>
    <xf numFmtId="0" fontId="84" fillId="0" borderId="33" xfId="53" applyFont="1" applyBorder="1" applyAlignment="1">
      <alignment horizontal="center" wrapText="1"/>
      <protection/>
    </xf>
    <xf numFmtId="0" fontId="84" fillId="0" borderId="34" xfId="53" applyFont="1" applyBorder="1" applyAlignment="1">
      <alignment horizontal="center" wrapText="1"/>
      <protection/>
    </xf>
    <xf numFmtId="0" fontId="84" fillId="0" borderId="0" xfId="53" applyFont="1" applyBorder="1" applyAlignment="1">
      <alignment horizontal="center" wrapText="1"/>
      <protection/>
    </xf>
    <xf numFmtId="0" fontId="84" fillId="0" borderId="30" xfId="53" applyFont="1" applyBorder="1" applyAlignment="1">
      <alignment vertical="top" wrapText="1"/>
      <protection/>
    </xf>
    <xf numFmtId="0" fontId="84" fillId="0" borderId="0" xfId="53" applyFont="1" applyBorder="1" applyAlignment="1">
      <alignment vertical="top" wrapText="1"/>
      <protection/>
    </xf>
    <xf numFmtId="0" fontId="84" fillId="0" borderId="30" xfId="53" applyFont="1" applyBorder="1" applyAlignment="1">
      <alignment wrapText="1"/>
      <protection/>
    </xf>
    <xf numFmtId="0" fontId="84" fillId="0" borderId="34" xfId="53" applyFont="1" applyBorder="1" applyAlignment="1">
      <alignment vertical="top" wrapText="1"/>
      <protection/>
    </xf>
    <xf numFmtId="0" fontId="84" fillId="0" borderId="34" xfId="53" applyFont="1" applyBorder="1" applyAlignment="1">
      <alignment wrapText="1"/>
      <protection/>
    </xf>
    <xf numFmtId="0" fontId="84" fillId="0" borderId="35" xfId="53" applyFont="1" applyBorder="1" applyAlignment="1">
      <alignment vertical="top" wrapText="1"/>
      <protection/>
    </xf>
    <xf numFmtId="0" fontId="84" fillId="0" borderId="36" xfId="53" applyFont="1" applyBorder="1" applyAlignment="1">
      <alignment vertical="top" wrapText="1"/>
      <protection/>
    </xf>
    <xf numFmtId="0" fontId="84" fillId="0" borderId="35" xfId="53" applyFont="1" applyBorder="1" applyAlignment="1">
      <alignment horizontal="center" vertical="top" wrapText="1"/>
      <protection/>
    </xf>
    <xf numFmtId="0" fontId="84" fillId="0" borderId="36" xfId="53" applyFont="1" applyBorder="1" applyAlignment="1">
      <alignment horizontal="center" vertical="top" wrapText="1"/>
      <protection/>
    </xf>
    <xf numFmtId="0" fontId="84" fillId="0" borderId="35" xfId="53" applyFont="1" applyBorder="1" applyAlignment="1">
      <alignment horizontal="center" wrapText="1"/>
      <protection/>
    </xf>
    <xf numFmtId="0" fontId="84" fillId="0" borderId="37" xfId="53" applyFont="1" applyBorder="1" applyAlignment="1">
      <alignment horizontal="center" wrapText="1"/>
      <protection/>
    </xf>
    <xf numFmtId="0" fontId="84" fillId="0" borderId="36" xfId="53" applyFont="1" applyBorder="1" applyAlignment="1">
      <alignment horizontal="center" wrapText="1"/>
      <protection/>
    </xf>
    <xf numFmtId="0" fontId="84" fillId="0" borderId="37" xfId="53" applyFont="1" applyBorder="1" applyAlignment="1">
      <alignment vertical="top" wrapText="1"/>
      <protection/>
    </xf>
    <xf numFmtId="0" fontId="84" fillId="0" borderId="36" xfId="53" applyFont="1" applyBorder="1" applyAlignment="1">
      <alignment wrapText="1"/>
      <protection/>
    </xf>
    <xf numFmtId="0" fontId="82" fillId="0" borderId="10" xfId="53" applyFont="1" applyBorder="1" applyAlignment="1">
      <alignment horizontal="center" vertical="center"/>
      <protection/>
    </xf>
    <xf numFmtId="0" fontId="82" fillId="0" borderId="10" xfId="53" applyFont="1" applyBorder="1">
      <alignment/>
      <protection/>
    </xf>
    <xf numFmtId="0" fontId="82" fillId="40" borderId="10" xfId="53" applyFont="1" applyFill="1" applyBorder="1" applyAlignment="1">
      <alignment/>
      <protection/>
    </xf>
    <xf numFmtId="0" fontId="82" fillId="0" borderId="10" xfId="53" applyFont="1" applyBorder="1" applyAlignment="1">
      <alignment/>
      <protection/>
    </xf>
    <xf numFmtId="0" fontId="80" fillId="0" borderId="38" xfId="53" applyFont="1" applyBorder="1" applyAlignment="1">
      <alignment horizontal="right"/>
      <protection/>
    </xf>
    <xf numFmtId="0" fontId="80" fillId="0" borderId="38" xfId="53" applyFont="1" applyBorder="1">
      <alignment/>
      <protection/>
    </xf>
    <xf numFmtId="2" fontId="85" fillId="0" borderId="10" xfId="53" applyNumberFormat="1" applyFont="1" applyBorder="1">
      <alignment/>
      <protection/>
    </xf>
    <xf numFmtId="0" fontId="82" fillId="0" borderId="22" xfId="53" applyFont="1" applyBorder="1" applyAlignment="1">
      <alignment horizontal="left" vertical="top" wrapText="1"/>
      <protection/>
    </xf>
    <xf numFmtId="2" fontId="81" fillId="0" borderId="10" xfId="53" applyNumberFormat="1" applyFont="1" applyBorder="1" applyAlignment="1">
      <alignment textRotation="90"/>
      <protection/>
    </xf>
    <xf numFmtId="2" fontId="81" fillId="40" borderId="10" xfId="53" applyNumberFormat="1" applyFont="1" applyFill="1" applyBorder="1" applyAlignment="1">
      <alignment textRotation="90"/>
      <protection/>
    </xf>
    <xf numFmtId="0" fontId="82" fillId="0" borderId="10" xfId="53" applyFont="1" applyBorder="1" applyAlignment="1">
      <alignment horizontal="left" vertical="top" wrapText="1"/>
      <protection/>
    </xf>
    <xf numFmtId="0" fontId="81" fillId="0" borderId="10" xfId="53" applyFont="1" applyBorder="1" applyAlignment="1">
      <alignment textRotation="90"/>
      <protection/>
    </xf>
    <xf numFmtId="0" fontId="81" fillId="40" borderId="10" xfId="53" applyFont="1" applyFill="1" applyBorder="1" applyAlignment="1">
      <alignment textRotation="90"/>
      <protection/>
    </xf>
    <xf numFmtId="0" fontId="82" fillId="0" borderId="10" xfId="53" applyFont="1" applyBorder="1" applyAlignment="1">
      <alignment textRotation="90"/>
      <protection/>
    </xf>
    <xf numFmtId="0" fontId="82" fillId="0" borderId="10" xfId="53" applyFont="1" applyBorder="1" applyAlignment="1">
      <alignment vertical="center" wrapText="1"/>
      <protection/>
    </xf>
    <xf numFmtId="0" fontId="82" fillId="0" borderId="10" xfId="53" applyFont="1" applyBorder="1" applyAlignment="1">
      <alignment horizontal="center" vertical="center" wrapText="1"/>
      <protection/>
    </xf>
    <xf numFmtId="0" fontId="82" fillId="0" borderId="10" xfId="53" applyFont="1" applyBorder="1" applyAlignment="1">
      <alignment horizontal="right" wrapText="1"/>
      <protection/>
    </xf>
    <xf numFmtId="0" fontId="82" fillId="0" borderId="10" xfId="53" applyFont="1" applyBorder="1" applyAlignment="1">
      <alignment wrapText="1"/>
      <protection/>
    </xf>
    <xf numFmtId="0" fontId="80" fillId="0" borderId="10" xfId="53" applyFont="1" applyBorder="1" applyAlignment="1">
      <alignment wrapText="1"/>
      <protection/>
    </xf>
    <xf numFmtId="0" fontId="80" fillId="0" borderId="10" xfId="53" applyFont="1" applyBorder="1">
      <alignment/>
      <protection/>
    </xf>
    <xf numFmtId="0" fontId="80" fillId="0" borderId="0" xfId="53" applyFont="1" applyAlignment="1">
      <alignment/>
      <protection/>
    </xf>
    <xf numFmtId="0" fontId="80" fillId="0" borderId="38" xfId="53" applyFont="1" applyBorder="1" applyAlignment="1">
      <alignment horizontal="right" vertical="top"/>
      <protection/>
    </xf>
    <xf numFmtId="0" fontId="80" fillId="0" borderId="38" xfId="53" applyFont="1" applyBorder="1" applyAlignment="1">
      <alignment vertical="top"/>
      <protection/>
    </xf>
    <xf numFmtId="0" fontId="80" fillId="0" borderId="0" xfId="53" applyFont="1" applyBorder="1" applyAlignment="1">
      <alignment vertical="top" wrapText="1"/>
      <protection/>
    </xf>
    <xf numFmtId="0" fontId="80" fillId="0" borderId="0" xfId="53" applyFont="1" applyBorder="1" applyAlignment="1">
      <alignment/>
      <protection/>
    </xf>
    <xf numFmtId="0" fontId="81" fillId="0" borderId="0" xfId="53" applyFont="1">
      <alignment/>
      <protection/>
    </xf>
    <xf numFmtId="0" fontId="81" fillId="0" borderId="33" xfId="53" applyFont="1" applyBorder="1" applyAlignment="1">
      <alignment horizontal="left"/>
      <protection/>
    </xf>
    <xf numFmtId="0" fontId="81" fillId="0" borderId="0" xfId="53" applyFont="1" applyBorder="1" applyAlignment="1">
      <alignment horizontal="left"/>
      <protection/>
    </xf>
    <xf numFmtId="0" fontId="81" fillId="0" borderId="34" xfId="53" applyFont="1" applyBorder="1" applyAlignment="1">
      <alignment horizontal="left"/>
      <protection/>
    </xf>
    <xf numFmtId="0" fontId="81" fillId="0" borderId="33" xfId="53" applyFont="1" applyBorder="1">
      <alignment/>
      <protection/>
    </xf>
    <xf numFmtId="0" fontId="81" fillId="0" borderId="0" xfId="53" applyFont="1" applyBorder="1">
      <alignment/>
      <protection/>
    </xf>
    <xf numFmtId="0" fontId="81" fillId="0" borderId="34" xfId="53" applyFont="1" applyBorder="1">
      <alignment/>
      <protection/>
    </xf>
    <xf numFmtId="0" fontId="80" fillId="0" borderId="35" xfId="53" applyFont="1" applyBorder="1">
      <alignment/>
      <protection/>
    </xf>
    <xf numFmtId="0" fontId="80" fillId="0" borderId="37" xfId="53" applyFont="1" applyBorder="1">
      <alignment/>
      <protection/>
    </xf>
    <xf numFmtId="0" fontId="80" fillId="0" borderId="36" xfId="53" applyFont="1" applyBorder="1">
      <alignment/>
      <protection/>
    </xf>
    <xf numFmtId="0" fontId="80" fillId="0" borderId="0" xfId="53" applyFont="1" applyAlignment="1">
      <alignment horizontal="right"/>
      <protection/>
    </xf>
    <xf numFmtId="0" fontId="86" fillId="0" borderId="0" xfId="53" applyFont="1" applyFill="1">
      <alignment/>
      <protection/>
    </xf>
    <xf numFmtId="0" fontId="83" fillId="0" borderId="0" xfId="53" applyFont="1" applyFill="1" applyAlignment="1">
      <alignment horizontal="right"/>
      <protection/>
    </xf>
    <xf numFmtId="0" fontId="86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center" wrapText="1"/>
      <protection/>
    </xf>
    <xf numFmtId="0" fontId="27" fillId="0" borderId="0" xfId="53" applyFont="1" applyFill="1" applyAlignment="1">
      <alignment horizontal="left"/>
      <protection/>
    </xf>
    <xf numFmtId="0" fontId="27" fillId="0" borderId="0" xfId="53" applyFont="1" applyFill="1" applyAlignment="1">
      <alignment horizontal="justify"/>
      <protection/>
    </xf>
    <xf numFmtId="0" fontId="5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justify"/>
      <protection/>
    </xf>
    <xf numFmtId="0" fontId="27" fillId="0" borderId="0" xfId="53" applyFont="1" applyFill="1">
      <alignment/>
      <protection/>
    </xf>
    <xf numFmtId="0" fontId="27" fillId="0" borderId="0" xfId="53" applyFont="1" applyFill="1" applyAlignment="1">
      <alignment horizontal="right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top"/>
      <protection/>
    </xf>
    <xf numFmtId="0" fontId="86" fillId="0" borderId="10" xfId="53" applyFont="1" applyFill="1" applyBorder="1" applyAlignment="1">
      <alignment horizontal="center" vertical="center"/>
      <protection/>
    </xf>
    <xf numFmtId="182" fontId="5" fillId="41" borderId="10" xfId="53" applyNumberFormat="1" applyFont="1" applyFill="1" applyBorder="1" applyAlignment="1">
      <alignment horizontal="right"/>
      <protection/>
    </xf>
    <xf numFmtId="0" fontId="86" fillId="42" borderId="0" xfId="53" applyFont="1" applyFill="1" applyAlignment="1">
      <alignment horizontal="right"/>
      <protection/>
    </xf>
    <xf numFmtId="0" fontId="86" fillId="42" borderId="0" xfId="53" applyFont="1" applyFill="1">
      <alignment/>
      <protection/>
    </xf>
    <xf numFmtId="182" fontId="5" fillId="0" borderId="22" xfId="53" applyNumberFormat="1" applyFont="1" applyFill="1" applyBorder="1" applyAlignment="1">
      <alignment/>
      <protection/>
    </xf>
    <xf numFmtId="0" fontId="81" fillId="40" borderId="10" xfId="53" applyNumberFormat="1" applyFont="1" applyFill="1" applyBorder="1" applyAlignment="1">
      <alignment horizontal="right"/>
      <protection/>
    </xf>
    <xf numFmtId="0" fontId="5" fillId="0" borderId="10" xfId="53" applyNumberFormat="1" applyFont="1" applyFill="1" applyBorder="1" applyAlignment="1">
      <alignment/>
      <protection/>
    </xf>
    <xf numFmtId="177" fontId="86" fillId="0" borderId="0" xfId="53" applyNumberFormat="1" applyFont="1" applyFill="1">
      <alignment/>
      <protection/>
    </xf>
    <xf numFmtId="177" fontId="86" fillId="42" borderId="0" xfId="53" applyNumberFormat="1" applyFont="1" applyFill="1">
      <alignment/>
      <protection/>
    </xf>
    <xf numFmtId="182" fontId="86" fillId="0" borderId="10" xfId="53" applyNumberFormat="1" applyFont="1" applyFill="1" applyBorder="1" applyAlignment="1">
      <alignment/>
      <protection/>
    </xf>
    <xf numFmtId="0" fontId="86" fillId="41" borderId="0" xfId="53" applyFont="1" applyFill="1" applyAlignment="1">
      <alignment horizontal="right"/>
      <protection/>
    </xf>
    <xf numFmtId="0" fontId="86" fillId="41" borderId="0" xfId="53" applyFont="1" applyFill="1">
      <alignment/>
      <protection/>
    </xf>
    <xf numFmtId="177" fontId="86" fillId="41" borderId="0" xfId="53" applyNumberFormat="1" applyFont="1" applyFill="1">
      <alignment/>
      <protection/>
    </xf>
    <xf numFmtId="177" fontId="27" fillId="0" borderId="0" xfId="53" applyNumberFormat="1" applyFont="1" applyFill="1">
      <alignment/>
      <protection/>
    </xf>
    <xf numFmtId="177" fontId="25" fillId="0" borderId="0" xfId="53" applyNumberFormat="1" applyFont="1" applyFill="1">
      <alignment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top" wrapText="1"/>
      <protection/>
    </xf>
    <xf numFmtId="177" fontId="78" fillId="0" borderId="0" xfId="53" applyNumberFormat="1" applyFont="1" applyFill="1">
      <alignment/>
      <protection/>
    </xf>
    <xf numFmtId="182" fontId="86" fillId="0" borderId="0" xfId="53" applyNumberFormat="1" applyFont="1" applyFill="1">
      <alignment/>
      <protection/>
    </xf>
    <xf numFmtId="0" fontId="87" fillId="0" borderId="0" xfId="53" applyFont="1" applyFill="1">
      <alignment/>
      <protection/>
    </xf>
    <xf numFmtId="0" fontId="87" fillId="0" borderId="0" xfId="53" applyFont="1" applyFill="1" applyAlignment="1">
      <alignment horizontal="right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86" fillId="0" borderId="0" xfId="53" applyFont="1" applyFill="1" applyBorder="1" applyAlignment="1">
      <alignment horizontal="center" vertical="center"/>
      <protection/>
    </xf>
    <xf numFmtId="0" fontId="86" fillId="0" borderId="0" xfId="53" applyNumberFormat="1" applyFont="1" applyFill="1" applyBorder="1" applyAlignment="1">
      <alignment wrapText="1"/>
      <protection/>
    </xf>
    <xf numFmtId="0" fontId="86" fillId="0" borderId="0" xfId="53" applyFont="1" applyFill="1" applyBorder="1">
      <alignment/>
      <protection/>
    </xf>
    <xf numFmtId="0" fontId="80" fillId="0" borderId="0" xfId="53" applyFont="1" applyFill="1">
      <alignment/>
      <protection/>
    </xf>
    <xf numFmtId="0" fontId="80" fillId="0" borderId="38" xfId="53" applyFont="1" applyFill="1" applyBorder="1" applyAlignment="1">
      <alignment horizontal="right"/>
      <protection/>
    </xf>
    <xf numFmtId="0" fontId="80" fillId="0" borderId="38" xfId="53" applyFont="1" applyFill="1" applyBorder="1">
      <alignment/>
      <protection/>
    </xf>
    <xf numFmtId="0" fontId="86" fillId="0" borderId="37" xfId="53" applyFont="1" applyFill="1" applyBorder="1">
      <alignment/>
      <protection/>
    </xf>
    <xf numFmtId="0" fontId="86" fillId="0" borderId="41" xfId="53" applyFont="1" applyFill="1" applyBorder="1">
      <alignment/>
      <protection/>
    </xf>
    <xf numFmtId="0" fontId="86" fillId="0" borderId="37" xfId="53" applyFont="1" applyFill="1" applyBorder="1" applyAlignment="1">
      <alignment/>
      <protection/>
    </xf>
    <xf numFmtId="0" fontId="32" fillId="0" borderId="0" xfId="53" applyFont="1" applyFill="1">
      <alignment/>
      <protection/>
    </xf>
    <xf numFmtId="0" fontId="25" fillId="0" borderId="0" xfId="53" applyFont="1" applyFill="1">
      <alignment/>
      <protection/>
    </xf>
    <xf numFmtId="0" fontId="88" fillId="0" borderId="0" xfId="53" applyFont="1" applyFill="1">
      <alignment/>
      <protection/>
    </xf>
    <xf numFmtId="0" fontId="78" fillId="0" borderId="0" xfId="53" applyFont="1" applyFill="1">
      <alignment/>
      <protection/>
    </xf>
    <xf numFmtId="182" fontId="31" fillId="41" borderId="22" xfId="53" applyNumberFormat="1" applyFont="1" applyFill="1" applyBorder="1" applyAlignment="1">
      <alignment horizontal="right"/>
      <protection/>
    </xf>
    <xf numFmtId="182" fontId="5" fillId="0" borderId="39" xfId="53" applyNumberFormat="1" applyFont="1" applyFill="1" applyBorder="1" applyAlignment="1">
      <alignment horizontal="center" vertical="center" wrapText="1"/>
      <protection/>
    </xf>
    <xf numFmtId="0" fontId="32" fillId="0" borderId="37" xfId="53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0" fillId="0" borderId="19" xfId="0" applyFill="1" applyBorder="1" applyAlignment="1">
      <alignment/>
    </xf>
    <xf numFmtId="0" fontId="5" fillId="0" borderId="21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0" fontId="5" fillId="0" borderId="29" xfId="0" applyFont="1" applyBorder="1" applyAlignment="1">
      <alignment wrapText="1"/>
    </xf>
    <xf numFmtId="2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5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0" fontId="5" fillId="0" borderId="44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46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47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48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53" applyFont="1" applyFill="1" applyBorder="1" applyAlignment="1">
      <alignment vertical="top" wrapText="1"/>
      <protection/>
    </xf>
    <xf numFmtId="0" fontId="89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80" fillId="0" borderId="10" xfId="53" applyFont="1" applyFill="1" applyBorder="1">
      <alignment/>
      <protection/>
    </xf>
    <xf numFmtId="0" fontId="80" fillId="0" borderId="0" xfId="53" applyFont="1" applyFill="1" applyBorder="1" applyAlignment="1">
      <alignment horizontal="center"/>
      <protection/>
    </xf>
    <xf numFmtId="0" fontId="80" fillId="0" borderId="10" xfId="53" applyFont="1" applyFill="1" applyBorder="1" applyAlignment="1">
      <alignment horizontal="center"/>
      <protection/>
    </xf>
    <xf numFmtId="4" fontId="80" fillId="0" borderId="0" xfId="53" applyNumberFormat="1" applyFont="1" applyFill="1">
      <alignment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>
      <alignment/>
      <protection/>
    </xf>
    <xf numFmtId="4" fontId="27" fillId="0" borderId="0" xfId="53" applyNumberFormat="1" applyFont="1" applyFill="1">
      <alignment/>
      <protection/>
    </xf>
    <xf numFmtId="0" fontId="80" fillId="0" borderId="10" xfId="53" applyFont="1" applyFill="1" applyBorder="1" applyAlignment="1">
      <alignment horizontal="center" vertical="center"/>
      <protection/>
    </xf>
    <xf numFmtId="0" fontId="87" fillId="0" borderId="10" xfId="53" applyFont="1" applyFill="1" applyBorder="1" applyAlignment="1">
      <alignment horizontal="center" vertical="center"/>
      <protection/>
    </xf>
    <xf numFmtId="4" fontId="87" fillId="0" borderId="0" xfId="53" applyNumberFormat="1" applyFont="1" applyFill="1">
      <alignment/>
      <protection/>
    </xf>
    <xf numFmtId="4" fontId="80" fillId="0" borderId="0" xfId="53" applyNumberFormat="1" applyFont="1" applyFill="1" applyAlignment="1">
      <alignment horizontal="center"/>
      <protection/>
    </xf>
    <xf numFmtId="0" fontId="90" fillId="0" borderId="10" xfId="53" applyFont="1" applyFill="1" applyBorder="1">
      <alignment/>
      <protection/>
    </xf>
    <xf numFmtId="4" fontId="90" fillId="0" borderId="0" xfId="53" applyNumberFormat="1" applyFont="1" applyFill="1">
      <alignment/>
      <protection/>
    </xf>
    <xf numFmtId="0" fontId="90" fillId="0" borderId="0" xfId="53" applyFont="1" applyFill="1">
      <alignment/>
      <protection/>
    </xf>
    <xf numFmtId="0" fontId="91" fillId="0" borderId="10" xfId="53" applyFont="1" applyFill="1" applyBorder="1">
      <alignment/>
      <protection/>
    </xf>
    <xf numFmtId="0" fontId="92" fillId="0" borderId="10" xfId="53" applyFont="1" applyFill="1" applyBorder="1">
      <alignment/>
      <protection/>
    </xf>
    <xf numFmtId="4" fontId="92" fillId="0" borderId="0" xfId="53" applyNumberFormat="1" applyFont="1" applyFill="1">
      <alignment/>
      <protection/>
    </xf>
    <xf numFmtId="0" fontId="92" fillId="0" borderId="0" xfId="53" applyFont="1" applyFill="1">
      <alignment/>
      <protection/>
    </xf>
    <xf numFmtId="0" fontId="80" fillId="0" borderId="0" xfId="53" applyFont="1" applyFill="1" applyAlignment="1">
      <alignment/>
      <protection/>
    </xf>
    <xf numFmtId="4" fontId="80" fillId="43" borderId="10" xfId="53" applyNumberFormat="1" applyFont="1" applyFill="1" applyBorder="1">
      <alignment/>
      <protection/>
    </xf>
    <xf numFmtId="4" fontId="27" fillId="0" borderId="10" xfId="53" applyNumberFormat="1" applyFont="1" applyFill="1" applyBorder="1">
      <alignment/>
      <protection/>
    </xf>
    <xf numFmtId="4" fontId="80" fillId="4" borderId="10" xfId="53" applyNumberFormat="1" applyFont="1" applyFill="1" applyBorder="1">
      <alignment/>
      <protection/>
    </xf>
    <xf numFmtId="4" fontId="27" fillId="4" borderId="10" xfId="53" applyNumberFormat="1" applyFont="1" applyFill="1" applyBorder="1">
      <alignment/>
      <protection/>
    </xf>
    <xf numFmtId="4" fontId="80" fillId="0" borderId="10" xfId="53" applyNumberFormat="1" applyFont="1" applyFill="1" applyBorder="1">
      <alignment/>
      <protection/>
    </xf>
    <xf numFmtId="4" fontId="90" fillId="44" borderId="10" xfId="53" applyNumberFormat="1" applyFont="1" applyFill="1" applyBorder="1">
      <alignment/>
      <protection/>
    </xf>
    <xf numFmtId="4" fontId="93" fillId="44" borderId="10" xfId="53" applyNumberFormat="1" applyFont="1" applyFill="1" applyBorder="1">
      <alignment/>
      <protection/>
    </xf>
    <xf numFmtId="4" fontId="80" fillId="44" borderId="10" xfId="53" applyNumberFormat="1" applyFont="1" applyFill="1" applyBorder="1">
      <alignment/>
      <protection/>
    </xf>
    <xf numFmtId="4" fontId="92" fillId="45" borderId="10" xfId="53" applyNumberFormat="1" applyFont="1" applyFill="1" applyBorder="1">
      <alignment/>
      <protection/>
    </xf>
    <xf numFmtId="4" fontId="91" fillId="45" borderId="10" xfId="53" applyNumberFormat="1" applyFont="1" applyFill="1" applyBorder="1">
      <alignment/>
      <protection/>
    </xf>
    <xf numFmtId="4" fontId="94" fillId="45" borderId="10" xfId="53" applyNumberFormat="1" applyFont="1" applyFill="1" applyBorder="1">
      <alignment/>
      <protection/>
    </xf>
    <xf numFmtId="0" fontId="5" fillId="44" borderId="10" xfId="0" applyFont="1" applyFill="1" applyBorder="1" applyAlignment="1">
      <alignment/>
    </xf>
    <xf numFmtId="14" fontId="80" fillId="0" borderId="37" xfId="53" applyNumberFormat="1" applyFont="1" applyBorder="1">
      <alignment/>
      <protection/>
    </xf>
    <xf numFmtId="14" fontId="27" fillId="0" borderId="37" xfId="53" applyNumberFormat="1" applyFont="1" applyFill="1" applyBorder="1">
      <alignment/>
      <protection/>
    </xf>
    <xf numFmtId="0" fontId="5" fillId="0" borderId="0" xfId="53" applyFont="1" applyFill="1" applyAlignment="1">
      <alignment/>
      <protection/>
    </xf>
    <xf numFmtId="0" fontId="27" fillId="0" borderId="0" xfId="53" applyFont="1" applyFill="1" applyAlignment="1">
      <alignment/>
      <protection/>
    </xf>
    <xf numFmtId="0" fontId="0" fillId="0" borderId="12" xfId="0" applyBorder="1" applyAlignment="1">
      <alignment/>
    </xf>
    <xf numFmtId="182" fontId="5" fillId="42" borderId="22" xfId="53" applyNumberFormat="1" applyFont="1" applyFill="1" applyBorder="1" applyAlignment="1">
      <alignment horizontal="right"/>
      <protection/>
    </xf>
    <xf numFmtId="182" fontId="5" fillId="42" borderId="22" xfId="53" applyNumberFormat="1" applyFont="1" applyFill="1" applyBorder="1" applyAlignment="1">
      <alignment/>
      <protection/>
    </xf>
    <xf numFmtId="182" fontId="5" fillId="42" borderId="22" xfId="53" applyNumberFormat="1" applyFont="1" applyFill="1" applyBorder="1" applyAlignment="1">
      <alignment horizontal="right"/>
      <protection/>
    </xf>
    <xf numFmtId="182" fontId="5" fillId="42" borderId="22" xfId="53" applyNumberFormat="1" applyFont="1" applyFill="1" applyBorder="1" applyAlignment="1">
      <alignment/>
      <protection/>
    </xf>
    <xf numFmtId="0" fontId="80" fillId="0" borderId="0" xfId="53" applyFont="1" applyFill="1" applyBorder="1" applyAlignment="1">
      <alignment horizontal="center" textRotation="90"/>
      <protection/>
    </xf>
    <xf numFmtId="0" fontId="90" fillId="0" borderId="0" xfId="53" applyFont="1" applyFill="1" applyBorder="1" applyAlignment="1">
      <alignment horizontal="center" textRotation="90"/>
      <protection/>
    </xf>
    <xf numFmtId="0" fontId="31" fillId="0" borderId="10" xfId="53" applyFont="1" applyFill="1" applyBorder="1" applyAlignment="1">
      <alignment horizontal="left" vertical="top" wrapText="1"/>
      <protection/>
    </xf>
    <xf numFmtId="4" fontId="90" fillId="0" borderId="10" xfId="53" applyNumberFormat="1" applyFont="1" applyFill="1" applyBorder="1">
      <alignment/>
      <protection/>
    </xf>
    <xf numFmtId="4" fontId="95" fillId="44" borderId="10" xfId="53" applyNumberFormat="1" applyFont="1" applyFill="1" applyBorder="1">
      <alignment/>
      <protection/>
    </xf>
    <xf numFmtId="4" fontId="96" fillId="45" borderId="10" xfId="53" applyNumberFormat="1" applyFont="1" applyFill="1" applyBorder="1">
      <alignment/>
      <protection/>
    </xf>
    <xf numFmtId="0" fontId="82" fillId="0" borderId="10" xfId="53" applyFont="1" applyFill="1" applyBorder="1">
      <alignment/>
      <protection/>
    </xf>
    <xf numFmtId="4" fontId="81" fillId="40" borderId="10" xfId="53" applyNumberFormat="1" applyFont="1" applyFill="1" applyBorder="1" applyAlignment="1">
      <alignment textRotation="90"/>
      <protection/>
    </xf>
    <xf numFmtId="4" fontId="5" fillId="0" borderId="45" xfId="0" applyNumberFormat="1" applyFont="1" applyBorder="1" applyAlignment="1">
      <alignment horizontal="center" vertical="top" wrapText="1"/>
    </xf>
    <xf numFmtId="0" fontId="8" fillId="0" borderId="31" xfId="0" applyFont="1" applyFill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/>
    </xf>
    <xf numFmtId="0" fontId="8" fillId="0" borderId="51" xfId="0" applyFont="1" applyBorder="1" applyAlignment="1">
      <alignment wrapText="1"/>
    </xf>
    <xf numFmtId="0" fontId="8" fillId="0" borderId="34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0" fontId="0" fillId="0" borderId="52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" fontId="18" fillId="0" borderId="17" xfId="53" applyNumberFormat="1" applyFont="1" applyBorder="1" applyAlignment="1">
      <alignment vertical="top" wrapText="1"/>
      <protection/>
    </xf>
    <xf numFmtId="0" fontId="9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4" fillId="0" borderId="0" xfId="53" applyFont="1" applyBorder="1" applyAlignment="1">
      <alignment horizontal="center" vertical="top" wrapText="1"/>
      <protection/>
    </xf>
    <xf numFmtId="0" fontId="84" fillId="0" borderId="0" xfId="53" applyFont="1" applyBorder="1" applyAlignment="1">
      <alignment horizontal="left" vertical="top" wrapText="1"/>
      <protection/>
    </xf>
    <xf numFmtId="0" fontId="84" fillId="0" borderId="0" xfId="53" applyFont="1" applyBorder="1" applyAlignment="1">
      <alignment wrapText="1"/>
      <protection/>
    </xf>
    <xf numFmtId="185" fontId="0" fillId="0" borderId="10" xfId="0" applyNumberFormat="1" applyBorder="1" applyAlignment="1">
      <alignment horizontal="center" wrapText="1"/>
    </xf>
    <xf numFmtId="0" fontId="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3" fillId="0" borderId="0" xfId="53" applyFont="1" applyBorder="1" applyAlignment="1">
      <alignment horizontal="center" vertical="top" wrapText="1"/>
      <protection/>
    </xf>
    <xf numFmtId="4" fontId="12" fillId="0" borderId="0" xfId="0" applyNumberFormat="1" applyFont="1" applyAlignment="1">
      <alignment/>
    </xf>
    <xf numFmtId="0" fontId="80" fillId="0" borderId="37" xfId="53" applyFont="1" applyBorder="1" applyAlignment="1">
      <alignment/>
      <protection/>
    </xf>
    <xf numFmtId="177" fontId="0" fillId="0" borderId="17" xfId="0" applyNumberFormat="1" applyBorder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7" xfId="0" applyNumberFormat="1" applyFont="1" applyBorder="1" applyAlignment="1">
      <alignment horizontal="center" vertical="top" wrapText="1"/>
    </xf>
    <xf numFmtId="3" fontId="5" fillId="38" borderId="20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0" fontId="29" fillId="0" borderId="27" xfId="0" applyFont="1" applyBorder="1" applyAlignment="1">
      <alignment wrapText="1"/>
    </xf>
    <xf numFmtId="0" fontId="80" fillId="0" borderId="34" xfId="53" applyFont="1" applyFill="1" applyBorder="1" applyAlignment="1">
      <alignment horizontal="center" textRotation="90"/>
      <protection/>
    </xf>
    <xf numFmtId="4" fontId="80" fillId="46" borderId="10" xfId="53" applyNumberFormat="1" applyFont="1" applyFill="1" applyBorder="1">
      <alignment/>
      <protection/>
    </xf>
    <xf numFmtId="0" fontId="8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 vertical="top" wrapText="1"/>
    </xf>
    <xf numFmtId="4" fontId="5" fillId="35" borderId="0" xfId="0" applyNumberFormat="1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vertical="top" wrapText="1"/>
    </xf>
    <xf numFmtId="0" fontId="80" fillId="0" borderId="16" xfId="53" applyFont="1" applyBorder="1" applyAlignment="1">
      <alignment wrapText="1"/>
      <protection/>
    </xf>
    <xf numFmtId="0" fontId="80" fillId="0" borderId="16" xfId="53" applyFont="1" applyBorder="1">
      <alignment/>
      <protection/>
    </xf>
    <xf numFmtId="0" fontId="80" fillId="0" borderId="18" xfId="53" applyFont="1" applyBorder="1">
      <alignment/>
      <protection/>
    </xf>
    <xf numFmtId="0" fontId="27" fillId="0" borderId="28" xfId="0" applyFont="1" applyBorder="1" applyAlignment="1">
      <alignment wrapText="1"/>
    </xf>
    <xf numFmtId="0" fontId="0" fillId="0" borderId="16" xfId="0" applyFill="1" applyBorder="1" applyAlignment="1">
      <alignment/>
    </xf>
    <xf numFmtId="2" fontId="5" fillId="0" borderId="17" xfId="0" applyNumberFormat="1" applyFont="1" applyBorder="1" applyAlignment="1">
      <alignment vertical="top" wrapText="1"/>
    </xf>
    <xf numFmtId="4" fontId="27" fillId="46" borderId="10" xfId="53" applyNumberFormat="1" applyFont="1" applyFill="1" applyBorder="1">
      <alignment/>
      <protection/>
    </xf>
    <xf numFmtId="0" fontId="82" fillId="0" borderId="10" xfId="53" applyFont="1" applyBorder="1" applyAlignment="1">
      <alignment horizontal="right" textRotation="89"/>
      <protection/>
    </xf>
    <xf numFmtId="2" fontId="5" fillId="44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6" xfId="0" applyNumberFormat="1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0" fillId="40" borderId="10" xfId="0" applyFill="1" applyBorder="1" applyAlignment="1">
      <alignment/>
    </xf>
    <xf numFmtId="186" fontId="0" fillId="0" borderId="10" xfId="0" applyNumberFormat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4" fontId="80" fillId="0" borderId="0" xfId="53" applyNumberFormat="1" applyFont="1" applyFill="1" applyAlignment="1">
      <alignment horizontal="right"/>
      <protection/>
    </xf>
    <xf numFmtId="0" fontId="80" fillId="0" borderId="10" xfId="53" applyFont="1" applyFill="1" applyBorder="1" applyAlignment="1">
      <alignment horizontal="center"/>
      <protection/>
    </xf>
    <xf numFmtId="0" fontId="80" fillId="0" borderId="34" xfId="53" applyFont="1" applyFill="1" applyBorder="1" applyAlignment="1">
      <alignment horizontal="center" textRotation="90"/>
      <protection/>
    </xf>
    <xf numFmtId="182" fontId="5" fillId="42" borderId="22" xfId="53" applyNumberFormat="1" applyFont="1" applyFill="1" applyBorder="1" applyAlignment="1">
      <alignment horizontal="right"/>
      <protection/>
    </xf>
    <xf numFmtId="182" fontId="5" fillId="42" borderId="22" xfId="53" applyNumberFormat="1" applyFont="1" applyFill="1" applyBorder="1" applyAlignment="1">
      <alignment/>
      <protection/>
    </xf>
    <xf numFmtId="3" fontId="80" fillId="0" borderId="0" xfId="53" applyNumberFormat="1" applyFont="1" applyFill="1" applyAlignment="1">
      <alignment horizontal="center"/>
      <protection/>
    </xf>
    <xf numFmtId="3" fontId="80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19" fillId="0" borderId="0" xfId="53" applyFont="1" applyFill="1" applyAlignment="1">
      <alignment horizontal="right"/>
      <protection/>
    </xf>
    <xf numFmtId="0" fontId="35" fillId="40" borderId="10" xfId="53" applyFont="1" applyFill="1" applyBorder="1" applyAlignment="1">
      <alignment horizontal="center" vertical="center"/>
      <protection/>
    </xf>
    <xf numFmtId="0" fontId="35" fillId="0" borderId="10" xfId="53" applyFont="1" applyFill="1" applyBorder="1" applyAlignment="1">
      <alignment horizontal="center" vertical="center"/>
      <protection/>
    </xf>
    <xf numFmtId="177" fontId="34" fillId="0" borderId="0" xfId="53" applyNumberFormat="1" applyFont="1" applyFill="1">
      <alignment/>
      <protection/>
    </xf>
    <xf numFmtId="182" fontId="35" fillId="0" borderId="0" xfId="53" applyNumberFormat="1" applyFont="1" applyFill="1">
      <alignment/>
      <protection/>
    </xf>
    <xf numFmtId="0" fontId="36" fillId="0" borderId="0" xfId="53" applyFont="1" applyFill="1">
      <alignment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center" vertical="center" wrapText="1"/>
      <protection/>
    </xf>
    <xf numFmtId="0" fontId="35" fillId="0" borderId="0" xfId="53" applyFont="1" applyFill="1" applyBorder="1" applyAlignment="1">
      <alignment horizontal="center" vertical="center"/>
      <protection/>
    </xf>
    <xf numFmtId="0" fontId="35" fillId="0" borderId="0" xfId="53" applyNumberFormat="1" applyFont="1" applyFill="1" applyBorder="1" applyAlignment="1">
      <alignment wrapText="1"/>
      <protection/>
    </xf>
    <xf numFmtId="0" fontId="35" fillId="0" borderId="0" xfId="53" applyFont="1" applyFill="1" applyBorder="1">
      <alignment/>
      <protection/>
    </xf>
    <xf numFmtId="0" fontId="18" fillId="0" borderId="0" xfId="53" applyFont="1" applyFill="1">
      <alignment/>
      <protection/>
    </xf>
    <xf numFmtId="0" fontId="18" fillId="0" borderId="38" xfId="53" applyFont="1" applyFill="1" applyBorder="1" applyAlignment="1">
      <alignment horizontal="right"/>
      <protection/>
    </xf>
    <xf numFmtId="0" fontId="18" fillId="0" borderId="38" xfId="53" applyFont="1" applyFill="1" applyBorder="1">
      <alignment/>
      <protection/>
    </xf>
    <xf numFmtId="0" fontId="35" fillId="0" borderId="37" xfId="53" applyFont="1" applyFill="1" applyBorder="1">
      <alignment/>
      <protection/>
    </xf>
    <xf numFmtId="0" fontId="35" fillId="0" borderId="0" xfId="53" applyFont="1" applyFill="1" applyAlignment="1">
      <alignment horizontal="right"/>
      <protection/>
    </xf>
    <xf numFmtId="0" fontId="35" fillId="0" borderId="41" xfId="53" applyFont="1" applyFill="1" applyBorder="1">
      <alignment/>
      <protection/>
    </xf>
    <xf numFmtId="0" fontId="35" fillId="0" borderId="37" xfId="0" applyFont="1" applyFill="1" applyBorder="1" applyAlignment="1">
      <alignment/>
    </xf>
    <xf numFmtId="0" fontId="35" fillId="0" borderId="41" xfId="0" applyFont="1" applyFill="1" applyBorder="1" applyAlignment="1">
      <alignment/>
    </xf>
    <xf numFmtId="0" fontId="35" fillId="0" borderId="37" xfId="0" applyFont="1" applyFill="1" applyBorder="1" applyAlignment="1">
      <alignment/>
    </xf>
    <xf numFmtId="0" fontId="27" fillId="0" borderId="37" xfId="53" applyFont="1" applyFill="1" applyBorder="1">
      <alignment/>
      <protection/>
    </xf>
    <xf numFmtId="0" fontId="37" fillId="0" borderId="0" xfId="53" applyFont="1" applyFill="1">
      <alignment/>
      <protection/>
    </xf>
    <xf numFmtId="0" fontId="34" fillId="0" borderId="0" xfId="53" applyFont="1" applyFill="1">
      <alignment/>
      <protection/>
    </xf>
    <xf numFmtId="4" fontId="11" fillId="40" borderId="25" xfId="0" applyNumberFormat="1" applyFont="1" applyFill="1" applyBorder="1" applyAlignment="1">
      <alignment horizontal="center"/>
    </xf>
    <xf numFmtId="0" fontId="82" fillId="0" borderId="10" xfId="53" applyFont="1" applyBorder="1" applyAlignment="1">
      <alignment horizontal="right"/>
      <protection/>
    </xf>
    <xf numFmtId="2" fontId="82" fillId="0" borderId="10" xfId="53" applyNumberFormat="1" applyFont="1" applyBorder="1" applyAlignment="1">
      <alignment textRotation="90"/>
      <protection/>
    </xf>
    <xf numFmtId="4" fontId="91" fillId="0" borderId="0" xfId="53" applyNumberFormat="1" applyFont="1" applyFill="1">
      <alignment/>
      <protection/>
    </xf>
    <xf numFmtId="0" fontId="90" fillId="0" borderId="0" xfId="53" applyFont="1" applyFill="1" applyAlignment="1">
      <alignment horizontal="right"/>
      <protection/>
    </xf>
    <xf numFmtId="182" fontId="0" fillId="0" borderId="0" xfId="0" applyNumberFormat="1" applyAlignment="1">
      <alignment/>
    </xf>
    <xf numFmtId="182" fontId="5" fillId="0" borderId="39" xfId="53" applyNumberFormat="1" applyFont="1" applyFill="1" applyBorder="1" applyAlignment="1">
      <alignment horizontal="right"/>
      <protection/>
    </xf>
    <xf numFmtId="182" fontId="5" fillId="0" borderId="22" xfId="53" applyNumberFormat="1" applyFont="1" applyFill="1" applyBorder="1" applyAlignment="1">
      <alignment horizontal="right"/>
      <protection/>
    </xf>
    <xf numFmtId="0" fontId="8" fillId="40" borderId="10" xfId="53" applyFont="1" applyFill="1" applyBorder="1" applyAlignment="1">
      <alignment vertical="top" wrapText="1"/>
      <protection/>
    </xf>
    <xf numFmtId="0" fontId="27" fillId="40" borderId="10" xfId="53" applyFont="1" applyFill="1" applyBorder="1">
      <alignment/>
      <protection/>
    </xf>
    <xf numFmtId="4" fontId="80" fillId="40" borderId="10" xfId="53" applyNumberFormat="1" applyFont="1" applyFill="1" applyBorder="1">
      <alignment/>
      <protection/>
    </xf>
    <xf numFmtId="4" fontId="27" fillId="40" borderId="0" xfId="53" applyNumberFormat="1" applyFont="1" applyFill="1">
      <alignment/>
      <protection/>
    </xf>
    <xf numFmtId="4" fontId="80" fillId="40" borderId="0" xfId="53" applyNumberFormat="1" applyFont="1" applyFill="1">
      <alignment/>
      <protection/>
    </xf>
    <xf numFmtId="0" fontId="27" fillId="40" borderId="0" xfId="53" applyFont="1" applyFill="1">
      <alignment/>
      <protection/>
    </xf>
    <xf numFmtId="4" fontId="0" fillId="0" borderId="0" xfId="0" applyNumberFormat="1" applyAlignment="1">
      <alignment horizontal="center"/>
    </xf>
    <xf numFmtId="182" fontId="5" fillId="0" borderId="10" xfId="53" applyNumberFormat="1" applyFont="1" applyFill="1" applyBorder="1" applyAlignment="1">
      <alignment/>
      <protection/>
    </xf>
    <xf numFmtId="182" fontId="5" fillId="42" borderId="22" xfId="53" applyNumberFormat="1" applyFont="1" applyFill="1" applyBorder="1" applyAlignment="1">
      <alignment horizontal="right"/>
      <protection/>
    </xf>
    <xf numFmtId="0" fontId="5" fillId="0" borderId="28" xfId="0" applyFont="1" applyBorder="1" applyAlignment="1">
      <alignment wrapText="1"/>
    </xf>
    <xf numFmtId="2" fontId="0" fillId="0" borderId="37" xfId="0" applyNumberFormat="1" applyBorder="1" applyAlignment="1">
      <alignment/>
    </xf>
    <xf numFmtId="0" fontId="0" fillId="0" borderId="11" xfId="0" applyBorder="1" applyAlignment="1">
      <alignment/>
    </xf>
    <xf numFmtId="179" fontId="5" fillId="0" borderId="39" xfId="53" applyNumberFormat="1" applyFont="1" applyFill="1" applyBorder="1">
      <alignment/>
      <protection/>
    </xf>
    <xf numFmtId="179" fontId="5" fillId="0" borderId="10" xfId="53" applyNumberFormat="1" applyFont="1" applyFill="1" applyBorder="1">
      <alignment/>
      <protection/>
    </xf>
    <xf numFmtId="179" fontId="5" fillId="0" borderId="22" xfId="53" applyNumberFormat="1" applyFont="1" applyFill="1" applyBorder="1">
      <alignment/>
      <protection/>
    </xf>
    <xf numFmtId="0" fontId="82" fillId="0" borderId="10" xfId="53" applyFont="1" applyBorder="1" applyAlignment="1">
      <alignment horizontal="center" wrapText="1"/>
      <protection/>
    </xf>
    <xf numFmtId="2" fontId="82" fillId="0" borderId="10" xfId="53" applyNumberFormat="1" applyFont="1" applyBorder="1" applyAlignment="1">
      <alignment horizontal="center"/>
      <protection/>
    </xf>
    <xf numFmtId="0" fontId="83" fillId="0" borderId="10" xfId="53" applyFont="1" applyBorder="1" applyAlignment="1">
      <alignment horizontal="center" vertical="top" wrapText="1"/>
      <protection/>
    </xf>
    <xf numFmtId="0" fontId="92" fillId="0" borderId="0" xfId="53" applyFont="1" applyAlignment="1">
      <alignment horizontal="center"/>
      <protection/>
    </xf>
    <xf numFmtId="0" fontId="80" fillId="0" borderId="0" xfId="53" applyFont="1" applyAlignment="1">
      <alignment horizontal="center"/>
      <protection/>
    </xf>
    <xf numFmtId="0" fontId="80" fillId="0" borderId="0" xfId="53" applyFont="1" applyAlignment="1">
      <alignment horizontal="center" wrapText="1"/>
      <protection/>
    </xf>
    <xf numFmtId="0" fontId="82" fillId="0" borderId="53" xfId="53" applyFont="1" applyBorder="1" applyAlignment="1">
      <alignment horizontal="center" vertical="center" wrapText="1"/>
      <protection/>
    </xf>
    <xf numFmtId="0" fontId="82" fillId="0" borderId="40" xfId="53" applyFont="1" applyBorder="1" applyAlignment="1">
      <alignment horizontal="center" vertical="center" wrapText="1"/>
      <protection/>
    </xf>
    <xf numFmtId="0" fontId="82" fillId="0" borderId="33" xfId="53" applyFont="1" applyBorder="1" applyAlignment="1">
      <alignment horizontal="center" vertical="center" wrapText="1"/>
      <protection/>
    </xf>
    <xf numFmtId="0" fontId="82" fillId="0" borderId="34" xfId="53" applyFont="1" applyBorder="1" applyAlignment="1">
      <alignment horizontal="center" vertical="center" wrapText="1"/>
      <protection/>
    </xf>
    <xf numFmtId="0" fontId="82" fillId="0" borderId="12" xfId="53" applyFont="1" applyBorder="1" applyAlignment="1">
      <alignment horizontal="center" vertical="center" wrapText="1"/>
      <protection/>
    </xf>
    <xf numFmtId="0" fontId="82" fillId="0" borderId="30" xfId="53" applyFont="1" applyBorder="1" applyAlignment="1">
      <alignment horizontal="center" vertical="center" wrapText="1"/>
      <protection/>
    </xf>
    <xf numFmtId="0" fontId="82" fillId="0" borderId="10" xfId="53" applyFont="1" applyBorder="1" applyAlignment="1">
      <alignment horizontal="center" vertical="center" wrapText="1"/>
      <protection/>
    </xf>
    <xf numFmtId="0" fontId="82" fillId="0" borderId="39" xfId="53" applyFont="1" applyBorder="1" applyAlignment="1">
      <alignment horizontal="center" vertical="center" wrapText="1"/>
      <protection/>
    </xf>
    <xf numFmtId="0" fontId="82" fillId="0" borderId="41" xfId="53" applyFont="1" applyBorder="1" applyAlignment="1">
      <alignment horizontal="center" vertical="center" wrapText="1"/>
      <protection/>
    </xf>
    <xf numFmtId="0" fontId="82" fillId="0" borderId="22" xfId="53" applyFont="1" applyBorder="1" applyAlignment="1">
      <alignment horizontal="center" vertical="center" wrapText="1"/>
      <protection/>
    </xf>
    <xf numFmtId="0" fontId="84" fillId="0" borderId="10" xfId="53" applyFont="1" applyBorder="1" applyAlignment="1">
      <alignment horizontal="center" vertical="top" wrapText="1"/>
      <protection/>
    </xf>
    <xf numFmtId="0" fontId="84" fillId="0" borderId="32" xfId="53" applyFont="1" applyBorder="1" applyAlignment="1">
      <alignment horizontal="center" wrapText="1"/>
      <protection/>
    </xf>
    <xf numFmtId="0" fontId="84" fillId="0" borderId="10" xfId="53" applyFont="1" applyBorder="1" applyAlignment="1">
      <alignment horizontal="left" vertical="top" wrapText="1"/>
      <protection/>
    </xf>
    <xf numFmtId="0" fontId="84" fillId="0" borderId="53" xfId="53" applyFont="1" applyBorder="1" applyAlignment="1">
      <alignment horizontal="center" wrapText="1"/>
      <protection/>
    </xf>
    <xf numFmtId="0" fontId="84" fillId="0" borderId="40" xfId="53" applyFont="1" applyBorder="1" applyAlignment="1">
      <alignment horizontal="center" wrapText="1"/>
      <protection/>
    </xf>
    <xf numFmtId="0" fontId="84" fillId="0" borderId="33" xfId="53" applyFont="1" applyBorder="1" applyAlignment="1">
      <alignment horizontal="center" vertical="top" wrapText="1"/>
      <protection/>
    </xf>
    <xf numFmtId="0" fontId="84" fillId="0" borderId="34" xfId="53" applyFont="1" applyBorder="1" applyAlignment="1">
      <alignment horizontal="center" vertical="top" wrapText="1"/>
      <protection/>
    </xf>
    <xf numFmtId="0" fontId="84" fillId="0" borderId="53" xfId="53" applyFont="1" applyBorder="1" applyAlignment="1">
      <alignment horizontal="center" vertical="top" wrapText="1"/>
      <protection/>
    </xf>
    <xf numFmtId="0" fontId="84" fillId="0" borderId="40" xfId="53" applyFont="1" applyBorder="1" applyAlignment="1">
      <alignment horizontal="center" vertical="top" wrapText="1"/>
      <protection/>
    </xf>
    <xf numFmtId="0" fontId="82" fillId="0" borderId="35" xfId="53" applyFont="1" applyBorder="1" applyAlignment="1">
      <alignment horizontal="center" vertical="center" wrapText="1"/>
      <protection/>
    </xf>
    <xf numFmtId="0" fontId="82" fillId="0" borderId="36" xfId="53" applyFont="1" applyBorder="1" applyAlignment="1">
      <alignment horizontal="center" vertical="center" wrapText="1"/>
      <protection/>
    </xf>
    <xf numFmtId="0" fontId="82" fillId="0" borderId="41" xfId="53" applyFont="1" applyBorder="1" applyAlignment="1">
      <alignment horizontal="left" wrapText="1"/>
      <protection/>
    </xf>
    <xf numFmtId="0" fontId="82" fillId="0" borderId="22" xfId="53" applyFont="1" applyBorder="1" applyAlignment="1">
      <alignment horizontal="left" wrapText="1"/>
      <protection/>
    </xf>
    <xf numFmtId="0" fontId="82" fillId="0" borderId="39" xfId="53" applyFont="1" applyBorder="1" applyAlignment="1">
      <alignment horizontal="center"/>
      <protection/>
    </xf>
    <xf numFmtId="0" fontId="82" fillId="0" borderId="22" xfId="53" applyFont="1" applyBorder="1" applyAlignment="1">
      <alignment horizontal="center"/>
      <protection/>
    </xf>
    <xf numFmtId="0" fontId="82" fillId="0" borderId="39" xfId="53" applyFont="1" applyBorder="1" applyAlignment="1">
      <alignment horizontal="left" wrapText="1"/>
      <protection/>
    </xf>
    <xf numFmtId="0" fontId="80" fillId="0" borderId="0" xfId="53" applyFont="1" applyAlignment="1">
      <alignment horizontal="left" wrapText="1"/>
      <protection/>
    </xf>
    <xf numFmtId="4" fontId="85" fillId="0" borderId="39" xfId="53" applyNumberFormat="1" applyFont="1" applyBorder="1" applyAlignment="1">
      <alignment horizontal="center"/>
      <protection/>
    </xf>
    <xf numFmtId="4" fontId="85" fillId="0" borderId="22" xfId="53" applyNumberFormat="1" applyFont="1" applyBorder="1" applyAlignment="1">
      <alignment horizontal="center"/>
      <protection/>
    </xf>
    <xf numFmtId="0" fontId="82" fillId="0" borderId="53" xfId="53" applyFont="1" applyBorder="1" applyAlignment="1">
      <alignment horizontal="left" vertical="top" wrapText="1"/>
      <protection/>
    </xf>
    <xf numFmtId="0" fontId="82" fillId="0" borderId="40" xfId="53" applyFont="1" applyBorder="1" applyAlignment="1">
      <alignment horizontal="left" vertical="top" wrapText="1"/>
      <protection/>
    </xf>
    <xf numFmtId="0" fontId="82" fillId="0" borderId="35" xfId="53" applyFont="1" applyBorder="1" applyAlignment="1">
      <alignment horizontal="left" vertical="top" wrapText="1"/>
      <protection/>
    </xf>
    <xf numFmtId="0" fontId="82" fillId="0" borderId="36" xfId="53" applyFont="1" applyBorder="1" applyAlignment="1">
      <alignment horizontal="left" vertical="top" wrapText="1"/>
      <protection/>
    </xf>
    <xf numFmtId="4" fontId="82" fillId="0" borderId="10" xfId="53" applyNumberFormat="1" applyFont="1" applyBorder="1" applyAlignment="1">
      <alignment horizontal="center"/>
      <protection/>
    </xf>
    <xf numFmtId="0" fontId="82" fillId="0" borderId="10" xfId="53" applyFont="1" applyBorder="1" applyAlignment="1">
      <alignment horizontal="left" vertical="top" wrapText="1"/>
      <protection/>
    </xf>
    <xf numFmtId="0" fontId="81" fillId="0" borderId="41" xfId="53" applyFont="1" applyBorder="1" applyAlignment="1">
      <alignment horizontal="left" wrapText="1"/>
      <protection/>
    </xf>
    <xf numFmtId="0" fontId="81" fillId="0" borderId="22" xfId="53" applyFont="1" applyBorder="1" applyAlignment="1">
      <alignment horizontal="left" wrapText="1"/>
      <protection/>
    </xf>
    <xf numFmtId="0" fontId="81" fillId="0" borderId="41" xfId="53" applyFont="1" applyBorder="1" applyAlignment="1">
      <alignment wrapText="1"/>
      <protection/>
    </xf>
    <xf numFmtId="0" fontId="81" fillId="0" borderId="22" xfId="53" applyFont="1" applyBorder="1" applyAlignment="1">
      <alignment wrapText="1"/>
      <protection/>
    </xf>
    <xf numFmtId="0" fontId="81" fillId="0" borderId="39" xfId="53" applyFont="1" applyBorder="1" applyAlignment="1">
      <alignment wrapText="1"/>
      <protection/>
    </xf>
    <xf numFmtId="2" fontId="82" fillId="0" borderId="39" xfId="53" applyNumberFormat="1" applyFont="1" applyBorder="1" applyAlignment="1">
      <alignment horizontal="center"/>
      <protection/>
    </xf>
    <xf numFmtId="2" fontId="82" fillId="0" borderId="22" xfId="53" applyNumberFormat="1" applyFont="1" applyBorder="1" applyAlignment="1">
      <alignment horizontal="center"/>
      <protection/>
    </xf>
    <xf numFmtId="0" fontId="82" fillId="0" borderId="39" xfId="53" applyFont="1" applyBorder="1" applyAlignment="1">
      <alignment horizontal="center" vertical="center"/>
      <protection/>
    </xf>
    <xf numFmtId="0" fontId="82" fillId="0" borderId="22" xfId="53" applyFont="1" applyBorder="1" applyAlignment="1">
      <alignment horizontal="center" vertical="center"/>
      <protection/>
    </xf>
    <xf numFmtId="2" fontId="81" fillId="0" borderId="39" xfId="53" applyNumberFormat="1" applyFont="1" applyBorder="1" applyAlignment="1">
      <alignment horizontal="center"/>
      <protection/>
    </xf>
    <xf numFmtId="2" fontId="81" fillId="0" borderId="22" xfId="53" applyNumberFormat="1" applyFont="1" applyBorder="1" applyAlignment="1">
      <alignment horizontal="center"/>
      <protection/>
    </xf>
    <xf numFmtId="49" fontId="81" fillId="0" borderId="41" xfId="53" applyNumberFormat="1" applyFont="1" applyBorder="1" applyAlignment="1">
      <alignment horizontal="center" vertical="center" wrapText="1"/>
      <protection/>
    </xf>
    <xf numFmtId="49" fontId="81" fillId="0" borderId="22" xfId="53" applyNumberFormat="1" applyFont="1" applyBorder="1" applyAlignment="1">
      <alignment horizontal="center" vertical="center" wrapText="1"/>
      <protection/>
    </xf>
    <xf numFmtId="0" fontId="82" fillId="0" borderId="39" xfId="53" applyFont="1" applyBorder="1" applyAlignment="1">
      <alignment horizontal="left" vertical="center" wrapText="1"/>
      <protection/>
    </xf>
    <xf numFmtId="0" fontId="82" fillId="0" borderId="41" xfId="53" applyFont="1" applyBorder="1" applyAlignment="1">
      <alignment horizontal="left" vertical="center" wrapText="1"/>
      <protection/>
    </xf>
    <xf numFmtId="0" fontId="82" fillId="0" borderId="22" xfId="53" applyFont="1" applyBorder="1" applyAlignment="1">
      <alignment horizontal="left" vertical="center" wrapText="1"/>
      <protection/>
    </xf>
    <xf numFmtId="0" fontId="81" fillId="0" borderId="10" xfId="53" applyFont="1" applyBorder="1" applyAlignment="1">
      <alignment horizontal="left" wrapText="1"/>
      <protection/>
    </xf>
    <xf numFmtId="0" fontId="82" fillId="0" borderId="39" xfId="53" applyFont="1" applyBorder="1" applyAlignment="1">
      <alignment horizontal="center" wrapText="1"/>
      <protection/>
    </xf>
    <xf numFmtId="0" fontId="82" fillId="0" borderId="22" xfId="53" applyFont="1" applyBorder="1" applyAlignment="1">
      <alignment horizontal="center" wrapText="1"/>
      <protection/>
    </xf>
    <xf numFmtId="0" fontId="81" fillId="0" borderId="39" xfId="53" applyFont="1" applyBorder="1" applyAlignment="1">
      <alignment horizontal="center" wrapText="1"/>
      <protection/>
    </xf>
    <xf numFmtId="0" fontId="81" fillId="0" borderId="22" xfId="53" applyFont="1" applyBorder="1" applyAlignment="1">
      <alignment horizontal="center" wrapText="1"/>
      <protection/>
    </xf>
    <xf numFmtId="0" fontId="81" fillId="0" borderId="39" xfId="53" applyFont="1" applyBorder="1" applyAlignment="1">
      <alignment horizontal="left" vertical="center" wrapText="1"/>
      <protection/>
    </xf>
    <xf numFmtId="0" fontId="81" fillId="0" borderId="22" xfId="53" applyFont="1" applyBorder="1" applyAlignment="1">
      <alignment horizontal="left" vertical="center" wrapText="1"/>
      <protection/>
    </xf>
    <xf numFmtId="0" fontId="81" fillId="0" borderId="39" xfId="53" applyFont="1" applyBorder="1" applyAlignment="1">
      <alignment horizontal="center"/>
      <protection/>
    </xf>
    <xf numFmtId="0" fontId="81" fillId="0" borderId="22" xfId="53" applyFont="1" applyBorder="1" applyAlignment="1">
      <alignment horizontal="center"/>
      <protection/>
    </xf>
    <xf numFmtId="0" fontId="82" fillId="0" borderId="10" xfId="53" applyFont="1" applyBorder="1" applyAlignment="1">
      <alignment horizontal="center"/>
      <protection/>
    </xf>
    <xf numFmtId="0" fontId="80" fillId="0" borderId="39" xfId="53" applyFont="1" applyBorder="1" applyAlignment="1">
      <alignment horizontal="center"/>
      <protection/>
    </xf>
    <xf numFmtId="0" fontId="80" fillId="0" borderId="22" xfId="53" applyFont="1" applyBorder="1" applyAlignment="1">
      <alignment horizontal="center"/>
      <protection/>
    </xf>
    <xf numFmtId="0" fontId="80" fillId="0" borderId="10" xfId="53" applyFont="1" applyBorder="1" applyAlignment="1">
      <alignment horizontal="center"/>
      <protection/>
    </xf>
    <xf numFmtId="0" fontId="81" fillId="0" borderId="39" xfId="53" applyFont="1" applyBorder="1" applyAlignment="1">
      <alignment horizontal="left" wrapText="1"/>
      <protection/>
    </xf>
    <xf numFmtId="0" fontId="80" fillId="0" borderId="41" xfId="53" applyFont="1" applyBorder="1" applyAlignment="1">
      <alignment horizontal="center"/>
      <protection/>
    </xf>
    <xf numFmtId="0" fontId="80" fillId="0" borderId="39" xfId="53" applyFont="1" applyBorder="1" applyAlignment="1">
      <alignment horizontal="center" vertical="center"/>
      <protection/>
    </xf>
    <xf numFmtId="0" fontId="80" fillId="0" borderId="41" xfId="53" applyFont="1" applyBorder="1" applyAlignment="1">
      <alignment horizontal="center" vertical="center"/>
      <protection/>
    </xf>
    <xf numFmtId="0" fontId="80" fillId="0" borderId="22" xfId="53" applyFont="1" applyBorder="1" applyAlignment="1">
      <alignment horizontal="center" vertical="center"/>
      <protection/>
    </xf>
    <xf numFmtId="0" fontId="80" fillId="0" borderId="39" xfId="53" applyFont="1" applyBorder="1" applyAlignment="1">
      <alignment horizontal="center" vertical="center" wrapText="1"/>
      <protection/>
    </xf>
    <xf numFmtId="0" fontId="80" fillId="0" borderId="41" xfId="53" applyFont="1" applyBorder="1" applyAlignment="1">
      <alignment horizontal="center" vertical="center" wrapText="1"/>
      <protection/>
    </xf>
    <xf numFmtId="0" fontId="80" fillId="0" borderId="22" xfId="53" applyFont="1" applyBorder="1" applyAlignment="1">
      <alignment horizontal="center" vertical="center" wrapText="1"/>
      <protection/>
    </xf>
    <xf numFmtId="0" fontId="80" fillId="0" borderId="10" xfId="53" applyFont="1" applyBorder="1" applyAlignment="1">
      <alignment horizontal="center" vertical="center" wrapText="1"/>
      <protection/>
    </xf>
    <xf numFmtId="4" fontId="80" fillId="0" borderId="39" xfId="53" applyNumberFormat="1" applyFont="1" applyBorder="1" applyAlignment="1">
      <alignment horizontal="center"/>
      <protection/>
    </xf>
    <xf numFmtId="4" fontId="80" fillId="0" borderId="41" xfId="53" applyNumberFormat="1" applyFont="1" applyBorder="1" applyAlignment="1">
      <alignment horizontal="center"/>
      <protection/>
    </xf>
    <xf numFmtId="4" fontId="80" fillId="0" borderId="22" xfId="53" applyNumberFormat="1" applyFont="1" applyBorder="1" applyAlignment="1">
      <alignment horizontal="center"/>
      <protection/>
    </xf>
    <xf numFmtId="0" fontId="81" fillId="0" borderId="33" xfId="53" applyFont="1" applyBorder="1" applyAlignment="1">
      <alignment horizontal="left" wrapText="1"/>
      <protection/>
    </xf>
    <xf numFmtId="0" fontId="81" fillId="0" borderId="0" xfId="53" applyFont="1" applyBorder="1" applyAlignment="1">
      <alignment horizontal="left" wrapText="1"/>
      <protection/>
    </xf>
    <xf numFmtId="0" fontId="81" fillId="0" borderId="34" xfId="53" applyFont="1" applyBorder="1" applyAlignment="1">
      <alignment horizontal="left" wrapText="1"/>
      <protection/>
    </xf>
    <xf numFmtId="0" fontId="81" fillId="0" borderId="33" xfId="53" applyFont="1" applyBorder="1" applyAlignment="1">
      <alignment horizontal="left"/>
      <protection/>
    </xf>
    <xf numFmtId="0" fontId="81" fillId="0" borderId="0" xfId="53" applyFont="1" applyBorder="1" applyAlignment="1">
      <alignment horizontal="left"/>
      <protection/>
    </xf>
    <xf numFmtId="0" fontId="81" fillId="0" borderId="34" xfId="53" applyFont="1" applyBorder="1" applyAlignment="1">
      <alignment horizontal="left"/>
      <protection/>
    </xf>
    <xf numFmtId="0" fontId="80" fillId="0" borderId="37" xfId="53" applyFont="1" applyBorder="1" applyAlignment="1">
      <alignment horizontal="center"/>
      <protection/>
    </xf>
    <xf numFmtId="0" fontId="80" fillId="0" borderId="39" xfId="53" applyFont="1" applyBorder="1" applyAlignment="1">
      <alignment horizontal="left" wrapText="1"/>
      <protection/>
    </xf>
    <xf numFmtId="0" fontId="80" fillId="0" borderId="41" xfId="53" applyFont="1" applyBorder="1" applyAlignment="1">
      <alignment horizontal="left" wrapText="1"/>
      <protection/>
    </xf>
    <xf numFmtId="0" fontId="80" fillId="0" borderId="22" xfId="53" applyFont="1" applyBorder="1" applyAlignment="1">
      <alignment horizontal="left" wrapText="1"/>
      <protection/>
    </xf>
    <xf numFmtId="2" fontId="80" fillId="0" borderId="39" xfId="53" applyNumberFormat="1" applyFont="1" applyBorder="1" applyAlignment="1">
      <alignment horizontal="center"/>
      <protection/>
    </xf>
    <xf numFmtId="2" fontId="80" fillId="0" borderId="41" xfId="53" applyNumberFormat="1" applyFont="1" applyBorder="1" applyAlignment="1">
      <alignment horizontal="center"/>
      <protection/>
    </xf>
    <xf numFmtId="2" fontId="80" fillId="0" borderId="22" xfId="53" applyNumberFormat="1" applyFont="1" applyBorder="1" applyAlignment="1">
      <alignment horizontal="center"/>
      <protection/>
    </xf>
    <xf numFmtId="0" fontId="81" fillId="0" borderId="53" xfId="53" applyFont="1" applyBorder="1" applyAlignment="1">
      <alignment horizontal="left" wrapText="1"/>
      <protection/>
    </xf>
    <xf numFmtId="0" fontId="81" fillId="0" borderId="32" xfId="53" applyFont="1" applyBorder="1" applyAlignment="1">
      <alignment horizontal="left" wrapText="1"/>
      <protection/>
    </xf>
    <xf numFmtId="0" fontId="81" fillId="0" borderId="40" xfId="53" applyFont="1" applyBorder="1" applyAlignment="1">
      <alignment horizontal="left" wrapText="1"/>
      <protection/>
    </xf>
    <xf numFmtId="0" fontId="80" fillId="0" borderId="0" xfId="53" applyFont="1" applyFill="1" applyAlignment="1">
      <alignment horizontal="center"/>
      <protection/>
    </xf>
    <xf numFmtId="0" fontId="80" fillId="0" borderId="10" xfId="53" applyFont="1" applyFill="1" applyBorder="1" applyAlignment="1">
      <alignment horizontal="center"/>
      <protection/>
    </xf>
    <xf numFmtId="0" fontId="80" fillId="0" borderId="12" xfId="53" applyFont="1" applyFill="1" applyBorder="1" applyAlignment="1">
      <alignment horizontal="center"/>
      <protection/>
    </xf>
    <xf numFmtId="0" fontId="80" fillId="0" borderId="34" xfId="53" applyFont="1" applyFill="1" applyBorder="1" applyAlignment="1">
      <alignment horizontal="center" textRotation="90"/>
      <protection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6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7" fillId="0" borderId="3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16" fontId="6" fillId="0" borderId="55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6" fillId="0" borderId="56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6" fillId="0" borderId="37" xfId="53" applyFont="1" applyFill="1" applyBorder="1" applyAlignment="1">
      <alignment horizontal="left"/>
      <protection/>
    </xf>
    <xf numFmtId="0" fontId="26" fillId="0" borderId="0" xfId="53" applyFont="1" applyFill="1" applyAlignment="1">
      <alignment horizontal="center" wrapText="1"/>
      <protection/>
    </xf>
    <xf numFmtId="0" fontId="6" fillId="0" borderId="0" xfId="53" applyFont="1" applyFill="1" applyAlignment="1">
      <alignment horizontal="center" wrapText="1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39" xfId="53" applyFont="1" applyFill="1" applyBorder="1" applyAlignment="1">
      <alignment horizontal="center" vertical="center"/>
      <protection/>
    </xf>
    <xf numFmtId="0" fontId="5" fillId="0" borderId="41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39" xfId="53" applyFont="1" applyFill="1" applyBorder="1" applyAlignment="1">
      <alignment horizontal="left" vertical="top" wrapText="1"/>
      <protection/>
    </xf>
    <xf numFmtId="0" fontId="5" fillId="0" borderId="22" xfId="53" applyFont="1" applyFill="1" applyBorder="1" applyAlignment="1">
      <alignment horizontal="left" vertical="top" wrapText="1"/>
      <protection/>
    </xf>
    <xf numFmtId="0" fontId="5" fillId="0" borderId="41" xfId="53" applyFont="1" applyFill="1" applyBorder="1" applyAlignment="1">
      <alignment horizontal="center" vertical="center" wrapText="1"/>
      <protection/>
    </xf>
    <xf numFmtId="0" fontId="5" fillId="41" borderId="39" xfId="53" applyFont="1" applyFill="1" applyBorder="1" applyAlignment="1">
      <alignment horizontal="left" vertical="top" wrapText="1"/>
      <protection/>
    </xf>
    <xf numFmtId="0" fontId="5" fillId="41" borderId="22" xfId="53" applyFont="1" applyFill="1" applyBorder="1" applyAlignment="1">
      <alignment horizontal="left" vertical="top" wrapText="1"/>
      <protection/>
    </xf>
    <xf numFmtId="182" fontId="31" fillId="41" borderId="39" xfId="53" applyNumberFormat="1" applyFont="1" applyFill="1" applyBorder="1" applyAlignment="1">
      <alignment horizontal="right"/>
      <protection/>
    </xf>
    <xf numFmtId="0" fontId="31" fillId="41" borderId="22" xfId="53" applyFont="1" applyFill="1" applyBorder="1" applyAlignment="1">
      <alignment horizontal="right"/>
      <protection/>
    </xf>
    <xf numFmtId="0" fontId="5" fillId="42" borderId="39" xfId="53" applyFont="1" applyFill="1" applyBorder="1" applyAlignment="1">
      <alignment horizontal="left" vertical="top" wrapText="1"/>
      <protection/>
    </xf>
    <xf numFmtId="0" fontId="5" fillId="42" borderId="22" xfId="53" applyFont="1" applyFill="1" applyBorder="1" applyAlignment="1">
      <alignment horizontal="left" vertical="top" wrapText="1"/>
      <protection/>
    </xf>
    <xf numFmtId="182" fontId="5" fillId="42" borderId="39" xfId="53" applyNumberFormat="1" applyFont="1" applyFill="1" applyBorder="1" applyAlignment="1">
      <alignment/>
      <protection/>
    </xf>
    <xf numFmtId="182" fontId="5" fillId="42" borderId="22" xfId="53" applyNumberFormat="1" applyFont="1" applyFill="1" applyBorder="1" applyAlignment="1">
      <alignment/>
      <protection/>
    </xf>
    <xf numFmtId="182" fontId="5" fillId="0" borderId="39" xfId="53" applyNumberFormat="1" applyFont="1" applyFill="1" applyBorder="1" applyAlignment="1">
      <alignment/>
      <protection/>
    </xf>
    <xf numFmtId="182" fontId="5" fillId="0" borderId="22" xfId="53" applyNumberFormat="1" applyFont="1" applyFill="1" applyBorder="1" applyAlignment="1">
      <alignment/>
      <protection/>
    </xf>
    <xf numFmtId="182" fontId="5" fillId="42" borderId="39" xfId="53" applyNumberFormat="1" applyFont="1" applyFill="1" applyBorder="1" applyAlignment="1">
      <alignment horizontal="right"/>
      <protection/>
    </xf>
    <xf numFmtId="182" fontId="5" fillId="42" borderId="22" xfId="53" applyNumberFormat="1" applyFont="1" applyFill="1" applyBorder="1" applyAlignment="1">
      <alignment horizontal="right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53" xfId="53" applyFont="1" applyFill="1" applyBorder="1" applyAlignment="1">
      <alignment horizontal="center" vertical="center" wrapText="1"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32" fillId="0" borderId="0" xfId="53" applyFont="1" applyFill="1" applyAlignment="1">
      <alignment horizont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27" fillId="0" borderId="0" xfId="53" applyFont="1" applyFill="1" applyAlignment="1">
      <alignment horizontal="left" wrapText="1"/>
      <protection/>
    </xf>
    <xf numFmtId="177" fontId="5" fillId="0" borderId="39" xfId="53" applyNumberFormat="1" applyFont="1" applyFill="1" applyBorder="1" applyAlignment="1">
      <alignment horizontal="center" vertical="center"/>
      <protection/>
    </xf>
    <xf numFmtId="177" fontId="5" fillId="0" borderId="22" xfId="53" applyNumberFormat="1" applyFont="1" applyFill="1" applyBorder="1" applyAlignment="1">
      <alignment horizontal="center" vertical="center"/>
      <protection/>
    </xf>
    <xf numFmtId="177" fontId="5" fillId="0" borderId="53" xfId="53" applyNumberFormat="1" applyFont="1" applyFill="1" applyBorder="1" applyAlignment="1">
      <alignment horizontal="center" vertical="center" wrapText="1"/>
      <protection/>
    </xf>
    <xf numFmtId="177" fontId="5" fillId="0" borderId="40" xfId="53" applyNumberFormat="1" applyFont="1" applyFill="1" applyBorder="1" applyAlignment="1">
      <alignment horizontal="center" vertical="center" wrapText="1"/>
      <protection/>
    </xf>
    <xf numFmtId="177" fontId="5" fillId="0" borderId="35" xfId="53" applyNumberFormat="1" applyFont="1" applyFill="1" applyBorder="1" applyAlignment="1">
      <alignment horizontal="center" vertical="center" wrapText="1"/>
      <protection/>
    </xf>
    <xf numFmtId="177" fontId="5" fillId="0" borderId="36" xfId="53" applyNumberFormat="1" applyFont="1" applyFill="1" applyBorder="1" applyAlignment="1">
      <alignment horizontal="center" vertical="center" wrapText="1"/>
      <protection/>
    </xf>
    <xf numFmtId="0" fontId="86" fillId="0" borderId="3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0" xfId="53" applyFont="1" applyFill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182" fontId="5" fillId="0" borderId="39" xfId="53" applyNumberFormat="1" applyFont="1" applyFill="1" applyBorder="1" applyAlignment="1">
      <alignment horizontal="right"/>
      <protection/>
    </xf>
    <xf numFmtId="182" fontId="5" fillId="0" borderId="22" xfId="53" applyNumberFormat="1" applyFont="1" applyFill="1" applyBorder="1" applyAlignment="1">
      <alignment horizontal="right"/>
      <protection/>
    </xf>
    <xf numFmtId="0" fontId="35" fillId="0" borderId="37" xfId="53" applyFont="1" applyFill="1" applyBorder="1" applyAlignment="1">
      <alignment horizontal="left"/>
      <protection/>
    </xf>
    <xf numFmtId="0" fontId="27" fillId="0" borderId="0" xfId="0" applyFont="1" applyFill="1" applyAlignment="1">
      <alignment horizontal="left" wrapText="1"/>
    </xf>
    <xf numFmtId="179" fontId="5" fillId="0" borderId="39" xfId="53" applyNumberFormat="1" applyFont="1" applyFill="1" applyBorder="1" applyAlignment="1">
      <alignment/>
      <protection/>
    </xf>
    <xf numFmtId="179" fontId="5" fillId="0" borderId="22" xfId="53" applyNumberFormat="1" applyFont="1" applyFill="1" applyBorder="1" applyAlignment="1">
      <alignment/>
      <protection/>
    </xf>
    <xf numFmtId="0" fontId="5" fillId="0" borderId="39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72;\AppData\Local\Microsoft\Windows\Temporary%20Internet%20Files\Content.IE5\O0TSDYCN\&#1084;&#1091;&#1085;&#1080;&#1094;&#1080;&#1087;&#1072;&#1083;&#1100;&#1085;&#1086;&#1077;%20&#1079;&#1072;&#1076;&#1072;&#1085;&#1080;&#1077;%20&#1085;&#1072;%202013&#1075;%20&#1076;&#1083;&#1103;%20&#1076;&#1077;&#1090;&#1089;&#1082;&#1080;&#1093;%20&#1089;&#1072;&#1076;&#1086;&#1074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72;\AppData\Local\Microsoft\Windows\Temporary%20Internet%20Files\Content.IE5\O0TSDYCN\&#1084;&#1091;&#1085;&#1080;&#1094;&#1080;&#1087;&#1072;&#1083;&#1100;&#1085;&#1086;&#1077;%20&#1079;&#1072;&#1076;&#1072;&#1085;&#1080;&#1077;%20&#1085;&#1072;%202013&#1075;-&#1085;&#1072;%2001.07%20&#1076;&#1083;&#1103;%20&#1076;&#1077;&#1090;&#1089;&#1082;&#1080;&#1093;%20&#1089;&#1072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</sheetNames>
    <sheetDataSet>
      <sheetData sheetId="0">
        <row r="69">
          <cell r="D69">
            <v>152</v>
          </cell>
          <cell r="E69">
            <v>152</v>
          </cell>
          <cell r="F69">
            <v>152</v>
          </cell>
        </row>
        <row r="70">
          <cell r="D70">
            <v>152</v>
          </cell>
          <cell r="E70">
            <v>152</v>
          </cell>
          <cell r="F70">
            <v>152</v>
          </cell>
        </row>
        <row r="71">
          <cell r="D71">
            <v>152</v>
          </cell>
          <cell r="E71">
            <v>152</v>
          </cell>
          <cell r="F71">
            <v>152</v>
          </cell>
        </row>
        <row r="138">
          <cell r="D138">
            <v>30075</v>
          </cell>
          <cell r="E138">
            <v>0</v>
          </cell>
        </row>
      </sheetData>
      <sheetData sheetId="1">
        <row r="17">
          <cell r="C17">
            <v>338335</v>
          </cell>
          <cell r="D17">
            <v>845838</v>
          </cell>
          <cell r="E17">
            <v>845838</v>
          </cell>
        </row>
        <row r="18">
          <cell r="C18">
            <v>556598</v>
          </cell>
          <cell r="D18">
            <v>629061.18</v>
          </cell>
          <cell r="E18">
            <v>681528.0399999999</v>
          </cell>
        </row>
        <row r="19">
          <cell r="C19">
            <v>104042</v>
          </cell>
          <cell r="D19">
            <v>0</v>
          </cell>
          <cell r="E19">
            <v>0</v>
          </cell>
        </row>
      </sheetData>
      <sheetData sheetId="9">
        <row r="17">
          <cell r="C17">
            <v>525775</v>
          </cell>
          <cell r="D17">
            <v>845838</v>
          </cell>
          <cell r="E17">
            <v>845838</v>
          </cell>
        </row>
        <row r="18">
          <cell r="C18">
            <v>467813.25</v>
          </cell>
          <cell r="D18">
            <v>663554.3</v>
          </cell>
          <cell r="E18">
            <v>548379.6699999999</v>
          </cell>
        </row>
        <row r="19">
          <cell r="C19">
            <v>86118</v>
          </cell>
          <cell r="D19">
            <v>0</v>
          </cell>
          <cell r="E19">
            <v>17924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  <sheetName val="отчет1433-1"/>
    </sheetNames>
    <sheetDataSet>
      <sheetData sheetId="0">
        <row r="69">
          <cell r="D69">
            <v>152</v>
          </cell>
          <cell r="E69">
            <v>152</v>
          </cell>
        </row>
        <row r="70">
          <cell r="D70">
            <v>152</v>
          </cell>
          <cell r="E70">
            <v>152</v>
          </cell>
        </row>
        <row r="71">
          <cell r="D71">
            <v>152</v>
          </cell>
          <cell r="E71">
            <v>152</v>
          </cell>
        </row>
        <row r="138">
          <cell r="G138">
            <v>64798</v>
          </cell>
        </row>
      </sheetData>
      <sheetData sheetId="1">
        <row r="17">
          <cell r="G17">
            <v>566950</v>
          </cell>
          <cell r="H17">
            <v>726470.31</v>
          </cell>
          <cell r="I17">
            <v>352216.38</v>
          </cell>
        </row>
        <row r="18">
          <cell r="G18">
            <v>1810009.84</v>
          </cell>
          <cell r="H18">
            <v>1446368.79</v>
          </cell>
          <cell r="I18">
            <v>407300.75</v>
          </cell>
        </row>
        <row r="19">
          <cell r="D19">
            <v>0</v>
          </cell>
          <cell r="G19">
            <v>18000</v>
          </cell>
          <cell r="I19">
            <v>86042</v>
          </cell>
        </row>
      </sheetData>
      <sheetData sheetId="9">
        <row r="17">
          <cell r="G17">
            <v>1177275.4</v>
          </cell>
          <cell r="H17">
            <v>970266</v>
          </cell>
          <cell r="I17">
            <v>660274</v>
          </cell>
        </row>
        <row r="18">
          <cell r="G18">
            <v>942816.0399999999</v>
          </cell>
          <cell r="H18">
            <v>725358.86</v>
          </cell>
          <cell r="I18">
            <v>797613.1199999999</v>
          </cell>
        </row>
        <row r="19">
          <cell r="E19">
            <v>0</v>
          </cell>
          <cell r="G19">
            <v>17805</v>
          </cell>
          <cell r="H19">
            <v>86118</v>
          </cell>
        </row>
      </sheetData>
      <sheetData sheetId="11">
        <row r="44">
          <cell r="C44">
            <v>2030.011</v>
          </cell>
        </row>
        <row r="45">
          <cell r="C45">
            <v>1867.18722</v>
          </cell>
        </row>
        <row r="47">
          <cell r="C47">
            <v>104.042</v>
          </cell>
        </row>
        <row r="56">
          <cell r="C56">
            <v>30.075</v>
          </cell>
        </row>
        <row r="60">
          <cell r="C60">
            <v>2217.451</v>
          </cell>
        </row>
        <row r="61">
          <cell r="C61">
            <v>1679.7472199999997</v>
          </cell>
        </row>
        <row r="63">
          <cell r="C63">
            <v>104.042</v>
          </cell>
        </row>
        <row r="72">
          <cell r="C72">
            <v>30.075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"/>
  <sheetViews>
    <sheetView view="pageBreakPreview" zoomScaleSheetLayoutView="100" workbookViewId="0" topLeftCell="A109">
      <selection activeCell="A15" sqref="A15"/>
    </sheetView>
  </sheetViews>
  <sheetFormatPr defaultColWidth="9.00390625" defaultRowHeight="12.75"/>
  <cols>
    <col min="1" max="1" width="6.375" style="159" customWidth="1"/>
    <col min="2" max="2" width="10.00390625" style="159" customWidth="1"/>
    <col min="3" max="3" width="13.625" style="159" customWidth="1"/>
    <col min="4" max="4" width="6.75390625" style="159" customWidth="1"/>
    <col min="5" max="5" width="6.625" style="159" customWidth="1"/>
    <col min="6" max="6" width="6.375" style="159" customWidth="1"/>
    <col min="7" max="9" width="5.875" style="159" customWidth="1"/>
    <col min="10" max="10" width="6.125" style="159" customWidth="1"/>
    <col min="11" max="11" width="6.125" style="159" bestFit="1" customWidth="1"/>
    <col min="12" max="12" width="6.75390625" style="159" customWidth="1"/>
    <col min="13" max="14" width="6.375" style="159" customWidth="1"/>
    <col min="15" max="15" width="6.00390625" style="159" customWidth="1"/>
    <col min="16" max="16" width="12.625" style="159" customWidth="1"/>
    <col min="17" max="17" width="11.125" style="159" customWidth="1"/>
    <col min="18" max="18" width="10.25390625" style="159" customWidth="1"/>
    <col min="19" max="19" width="6.00390625" style="159" customWidth="1"/>
    <col min="20" max="16384" width="9.125" style="159" customWidth="1"/>
  </cols>
  <sheetData>
    <row r="1" ht="11.25" customHeight="1">
      <c r="R1" s="160" t="s">
        <v>148</v>
      </c>
    </row>
    <row r="2" ht="11.25" customHeight="1">
      <c r="R2" s="160" t="s">
        <v>149</v>
      </c>
    </row>
    <row r="3" ht="12" customHeight="1">
      <c r="R3" s="160" t="s">
        <v>150</v>
      </c>
    </row>
    <row r="4" ht="12" customHeight="1">
      <c r="R4" s="160" t="s">
        <v>151</v>
      </c>
    </row>
    <row r="5" ht="12" customHeight="1">
      <c r="R5" s="160" t="s">
        <v>152</v>
      </c>
    </row>
    <row r="6" ht="10.5" customHeight="1">
      <c r="R6" s="160" t="s">
        <v>153</v>
      </c>
    </row>
    <row r="7" ht="11.25" customHeight="1">
      <c r="R7" s="160" t="s">
        <v>154</v>
      </c>
    </row>
    <row r="8" ht="11.25" customHeight="1">
      <c r="R8" s="160" t="s">
        <v>155</v>
      </c>
    </row>
    <row r="9" ht="11.25" customHeight="1">
      <c r="R9" s="160" t="s">
        <v>156</v>
      </c>
    </row>
    <row r="10" ht="12" customHeight="1">
      <c r="R10" s="160" t="s">
        <v>157</v>
      </c>
    </row>
    <row r="11" ht="15" hidden="1"/>
    <row r="12" spans="1:18" ht="15" customHeight="1">
      <c r="A12" s="496" t="s">
        <v>158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</row>
    <row r="13" spans="1:18" ht="15">
      <c r="A13" s="497" t="s">
        <v>159</v>
      </c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</row>
    <row r="14" spans="1:18" ht="15">
      <c r="A14" s="497" t="s">
        <v>473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</row>
    <row r="17" spans="2:23" ht="29.25" customHeight="1">
      <c r="B17" s="159" t="s">
        <v>160</v>
      </c>
      <c r="H17" s="498" t="s">
        <v>382</v>
      </c>
      <c r="I17" s="498"/>
      <c r="J17" s="498"/>
      <c r="K17" s="498"/>
      <c r="L17" s="498"/>
      <c r="M17" s="498"/>
      <c r="N17" s="498"/>
      <c r="O17" s="498"/>
      <c r="P17" s="498"/>
      <c r="Q17" s="498"/>
      <c r="S17" s="161"/>
      <c r="T17" s="161"/>
      <c r="U17" s="161"/>
      <c r="V17" s="161"/>
      <c r="W17" s="161"/>
    </row>
    <row r="19" ht="15">
      <c r="B19" s="159" t="s">
        <v>161</v>
      </c>
    </row>
    <row r="21" spans="1:18" ht="100.5" customHeight="1">
      <c r="A21" s="162" t="s">
        <v>162</v>
      </c>
      <c r="B21" s="162" t="s">
        <v>163</v>
      </c>
      <c r="C21" s="162" t="s">
        <v>164</v>
      </c>
      <c r="D21" s="499" t="s">
        <v>25</v>
      </c>
      <c r="E21" s="500"/>
      <c r="F21" s="499" t="s">
        <v>165</v>
      </c>
      <c r="G21" s="500"/>
      <c r="H21" s="499" t="s">
        <v>166</v>
      </c>
      <c r="I21" s="500"/>
      <c r="J21" s="499" t="s">
        <v>167</v>
      </c>
      <c r="K21" s="500"/>
      <c r="L21" s="499" t="s">
        <v>168</v>
      </c>
      <c r="M21" s="500"/>
      <c r="N21" s="499" t="s">
        <v>169</v>
      </c>
      <c r="O21" s="500"/>
      <c r="P21" s="162" t="s">
        <v>170</v>
      </c>
      <c r="Q21" s="499" t="s">
        <v>171</v>
      </c>
      <c r="R21" s="500"/>
    </row>
    <row r="22" spans="1:18" s="163" customFormat="1" ht="222" customHeight="1">
      <c r="A22" s="495">
        <v>1</v>
      </c>
      <c r="B22" s="495" t="s">
        <v>172</v>
      </c>
      <c r="C22" s="495" t="s">
        <v>173</v>
      </c>
      <c r="D22" s="495" t="s">
        <v>174</v>
      </c>
      <c r="E22" s="495"/>
      <c r="F22" s="495" t="s">
        <v>175</v>
      </c>
      <c r="G22" s="495"/>
      <c r="H22" s="495" t="s">
        <v>176</v>
      </c>
      <c r="I22" s="495"/>
      <c r="J22" s="509" t="s">
        <v>173</v>
      </c>
      <c r="K22" s="509"/>
      <c r="L22" s="495" t="s">
        <v>177</v>
      </c>
      <c r="M22" s="495"/>
      <c r="N22" s="495" t="s">
        <v>178</v>
      </c>
      <c r="O22" s="495"/>
      <c r="P22" s="509" t="s">
        <v>179</v>
      </c>
      <c r="Q22" s="511" t="s">
        <v>180</v>
      </c>
      <c r="R22" s="511"/>
    </row>
    <row r="23" spans="1:18" s="163" customFormat="1" ht="60.75" customHeight="1">
      <c r="A23" s="495"/>
      <c r="B23" s="495"/>
      <c r="C23" s="495"/>
      <c r="D23" s="495"/>
      <c r="E23" s="495"/>
      <c r="F23" s="495"/>
      <c r="G23" s="495"/>
      <c r="H23" s="495"/>
      <c r="I23" s="495"/>
      <c r="J23" s="509"/>
      <c r="K23" s="509"/>
      <c r="L23" s="495"/>
      <c r="M23" s="495"/>
      <c r="N23" s="495"/>
      <c r="O23" s="495"/>
      <c r="P23" s="509"/>
      <c r="Q23" s="511"/>
      <c r="R23" s="511"/>
    </row>
    <row r="24" spans="1:18" s="163" customFormat="1" ht="60.75" customHeight="1">
      <c r="A24" s="495"/>
      <c r="B24" s="495"/>
      <c r="C24" s="495"/>
      <c r="D24" s="495"/>
      <c r="E24" s="495"/>
      <c r="F24" s="495"/>
      <c r="G24" s="495"/>
      <c r="H24" s="495"/>
      <c r="I24" s="495"/>
      <c r="J24" s="509"/>
      <c r="K24" s="509"/>
      <c r="L24" s="495"/>
      <c r="M24" s="495"/>
      <c r="N24" s="495"/>
      <c r="O24" s="495"/>
      <c r="P24" s="509"/>
      <c r="Q24" s="511"/>
      <c r="R24" s="511"/>
    </row>
    <row r="25" spans="1:18" s="163" customFormat="1" ht="60.75" customHeight="1">
      <c r="A25" s="495"/>
      <c r="B25" s="495"/>
      <c r="C25" s="495"/>
      <c r="D25" s="495"/>
      <c r="E25" s="495"/>
      <c r="F25" s="495"/>
      <c r="G25" s="495"/>
      <c r="H25" s="495"/>
      <c r="I25" s="495"/>
      <c r="J25" s="509"/>
      <c r="K25" s="509"/>
      <c r="L25" s="495"/>
      <c r="M25" s="495"/>
      <c r="N25" s="495"/>
      <c r="O25" s="495"/>
      <c r="P25" s="509"/>
      <c r="Q25" s="511"/>
      <c r="R25" s="511"/>
    </row>
    <row r="26" spans="1:18" s="163" customFormat="1" ht="60.75" customHeight="1">
      <c r="A26" s="495"/>
      <c r="B26" s="495"/>
      <c r="C26" s="495"/>
      <c r="D26" s="495"/>
      <c r="E26" s="495"/>
      <c r="F26" s="495"/>
      <c r="G26" s="495"/>
      <c r="H26" s="495"/>
      <c r="I26" s="495"/>
      <c r="J26" s="509"/>
      <c r="K26" s="509"/>
      <c r="L26" s="495"/>
      <c r="M26" s="495"/>
      <c r="N26" s="495"/>
      <c r="O26" s="495"/>
      <c r="P26" s="509"/>
      <c r="Q26" s="511"/>
      <c r="R26" s="511"/>
    </row>
    <row r="27" spans="1:18" s="163" customFormat="1" ht="60.75" customHeight="1">
      <c r="A27" s="495"/>
      <c r="B27" s="495"/>
      <c r="C27" s="495"/>
      <c r="D27" s="495"/>
      <c r="E27" s="495"/>
      <c r="F27" s="495"/>
      <c r="G27" s="495"/>
      <c r="H27" s="495"/>
      <c r="I27" s="495"/>
      <c r="J27" s="509"/>
      <c r="K27" s="509"/>
      <c r="L27" s="495"/>
      <c r="M27" s="495"/>
      <c r="N27" s="495"/>
      <c r="O27" s="495"/>
      <c r="P27" s="509"/>
      <c r="Q27" s="511"/>
      <c r="R27" s="511"/>
    </row>
    <row r="28" spans="1:18" s="163" customFormat="1" ht="60.75" customHeight="1">
      <c r="A28" s="495"/>
      <c r="B28" s="495"/>
      <c r="C28" s="495"/>
      <c r="D28" s="495"/>
      <c r="E28" s="495"/>
      <c r="F28" s="495"/>
      <c r="G28" s="495"/>
      <c r="H28" s="495"/>
      <c r="I28" s="495"/>
      <c r="J28" s="509"/>
      <c r="K28" s="509"/>
      <c r="L28" s="495"/>
      <c r="M28" s="495"/>
      <c r="N28" s="495"/>
      <c r="O28" s="495"/>
      <c r="P28" s="509"/>
      <c r="Q28" s="511"/>
      <c r="R28" s="511"/>
    </row>
    <row r="29" spans="1:18" s="163" customFormat="1" ht="60.75" customHeight="1">
      <c r="A29" s="495"/>
      <c r="B29" s="495"/>
      <c r="C29" s="495"/>
      <c r="D29" s="495"/>
      <c r="E29" s="495"/>
      <c r="F29" s="495"/>
      <c r="G29" s="495"/>
      <c r="H29" s="495"/>
      <c r="I29" s="495"/>
      <c r="J29" s="509"/>
      <c r="K29" s="509"/>
      <c r="L29" s="495"/>
      <c r="M29" s="495"/>
      <c r="N29" s="495"/>
      <c r="O29" s="495"/>
      <c r="P29" s="509"/>
      <c r="Q29" s="511"/>
      <c r="R29" s="511"/>
    </row>
    <row r="30" spans="1:18" s="163" customFormat="1" ht="35.25" customHeight="1">
      <c r="A30" s="495"/>
      <c r="B30" s="495"/>
      <c r="C30" s="495"/>
      <c r="D30" s="495"/>
      <c r="E30" s="495"/>
      <c r="F30" s="495"/>
      <c r="G30" s="495"/>
      <c r="H30" s="495"/>
      <c r="I30" s="495"/>
      <c r="J30" s="509"/>
      <c r="K30" s="509"/>
      <c r="L30" s="495"/>
      <c r="M30" s="495"/>
      <c r="N30" s="495"/>
      <c r="O30" s="495"/>
      <c r="P30" s="509"/>
      <c r="Q30" s="511"/>
      <c r="R30" s="511"/>
    </row>
    <row r="31" spans="1:18" s="163" customFormat="1" ht="60.75" customHeight="1">
      <c r="A31" s="495"/>
      <c r="B31" s="495"/>
      <c r="C31" s="495"/>
      <c r="D31" s="495"/>
      <c r="E31" s="495"/>
      <c r="F31" s="495"/>
      <c r="G31" s="495"/>
      <c r="H31" s="495"/>
      <c r="I31" s="495"/>
      <c r="J31" s="509"/>
      <c r="K31" s="509"/>
      <c r="L31" s="495"/>
      <c r="M31" s="495"/>
      <c r="N31" s="495"/>
      <c r="O31" s="495"/>
      <c r="P31" s="509"/>
      <c r="Q31" s="511"/>
      <c r="R31" s="511"/>
    </row>
    <row r="32" spans="1:18" s="163" customFormat="1" ht="83.25" customHeight="1">
      <c r="A32" s="495"/>
      <c r="B32" s="495"/>
      <c r="C32" s="495"/>
      <c r="D32" s="495"/>
      <c r="E32" s="495"/>
      <c r="F32" s="495"/>
      <c r="G32" s="495"/>
      <c r="H32" s="495"/>
      <c r="I32" s="495"/>
      <c r="J32" s="509"/>
      <c r="K32" s="509"/>
      <c r="L32" s="495"/>
      <c r="M32" s="495"/>
      <c r="N32" s="495"/>
      <c r="O32" s="495"/>
      <c r="P32" s="509"/>
      <c r="Q32" s="511"/>
      <c r="R32" s="511"/>
    </row>
    <row r="33" spans="1:18" s="163" customFormat="1" ht="90.75" customHeight="1">
      <c r="A33" s="495"/>
      <c r="B33" s="495"/>
      <c r="C33" s="495"/>
      <c r="D33" s="495"/>
      <c r="E33" s="495"/>
      <c r="F33" s="495"/>
      <c r="G33" s="495"/>
      <c r="H33" s="495"/>
      <c r="I33" s="495"/>
      <c r="J33" s="509"/>
      <c r="K33" s="509"/>
      <c r="L33" s="495"/>
      <c r="M33" s="495"/>
      <c r="N33" s="495"/>
      <c r="O33" s="495"/>
      <c r="P33" s="509"/>
      <c r="Q33" s="511"/>
      <c r="R33" s="511"/>
    </row>
    <row r="34" spans="1:18" ht="115.5" customHeight="1">
      <c r="A34" s="495"/>
      <c r="B34" s="495"/>
      <c r="C34" s="495"/>
      <c r="D34" s="495"/>
      <c r="E34" s="495"/>
      <c r="F34" s="495"/>
      <c r="G34" s="495"/>
      <c r="H34" s="495"/>
      <c r="I34" s="495"/>
      <c r="J34" s="509"/>
      <c r="K34" s="509"/>
      <c r="L34" s="495"/>
      <c r="M34" s="495"/>
      <c r="N34" s="495"/>
      <c r="O34" s="495"/>
      <c r="P34" s="509"/>
      <c r="Q34" s="511"/>
      <c r="R34" s="511"/>
    </row>
    <row r="35" spans="1:18" ht="115.5" customHeight="1">
      <c r="A35" s="399"/>
      <c r="B35" s="399"/>
      <c r="C35" s="399"/>
      <c r="D35" s="399"/>
      <c r="E35" s="399"/>
      <c r="F35" s="399"/>
      <c r="G35" s="399"/>
      <c r="H35" s="399"/>
      <c r="I35" s="399"/>
      <c r="J35" s="393"/>
      <c r="K35" s="393"/>
      <c r="L35" s="399"/>
      <c r="M35" s="399"/>
      <c r="N35" s="399"/>
      <c r="O35" s="399"/>
      <c r="P35" s="393"/>
      <c r="Q35" s="394"/>
      <c r="R35" s="394"/>
    </row>
    <row r="37" ht="15">
      <c r="B37" s="159" t="s">
        <v>181</v>
      </c>
    </row>
    <row r="39" spans="1:18" ht="15" customHeight="1">
      <c r="A39" s="499" t="s">
        <v>163</v>
      </c>
      <c r="B39" s="500"/>
      <c r="C39" s="503" t="s">
        <v>182</v>
      </c>
      <c r="D39" s="505" t="s">
        <v>183</v>
      </c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ht="28.5" customHeight="1">
      <c r="A40" s="501"/>
      <c r="B40" s="502"/>
      <c r="C40" s="504"/>
      <c r="D40" s="505" t="s">
        <v>184</v>
      </c>
      <c r="E40" s="505"/>
      <c r="F40" s="505"/>
      <c r="G40" s="505"/>
      <c r="H40" s="505"/>
      <c r="I40" s="505"/>
      <c r="J40" s="506" t="s">
        <v>185</v>
      </c>
      <c r="K40" s="507"/>
      <c r="L40" s="507"/>
      <c r="M40" s="507"/>
      <c r="N40" s="507"/>
      <c r="O40" s="508"/>
      <c r="P40" s="505" t="s">
        <v>186</v>
      </c>
      <c r="Q40" s="505"/>
      <c r="R40" s="505"/>
    </row>
    <row r="41" spans="1:19" ht="83.25" customHeight="1">
      <c r="A41" s="501"/>
      <c r="B41" s="502"/>
      <c r="C41" s="504"/>
      <c r="D41" s="503" t="s">
        <v>187</v>
      </c>
      <c r="E41" s="503"/>
      <c r="F41" s="503" t="s">
        <v>188</v>
      </c>
      <c r="G41" s="503"/>
      <c r="H41" s="503" t="s">
        <v>189</v>
      </c>
      <c r="I41" s="503"/>
      <c r="J41" s="503" t="s">
        <v>187</v>
      </c>
      <c r="K41" s="503"/>
      <c r="L41" s="503" t="s">
        <v>188</v>
      </c>
      <c r="M41" s="503"/>
      <c r="N41" s="499" t="s">
        <v>189</v>
      </c>
      <c r="O41" s="500"/>
      <c r="P41" s="164" t="s">
        <v>187</v>
      </c>
      <c r="Q41" s="164" t="s">
        <v>188</v>
      </c>
      <c r="R41" s="164" t="s">
        <v>189</v>
      </c>
      <c r="S41" s="165"/>
    </row>
    <row r="42" spans="1:18" s="169" customFormat="1" ht="199.5" customHeight="1">
      <c r="A42" s="509" t="s">
        <v>172</v>
      </c>
      <c r="B42" s="509"/>
      <c r="C42" s="511" t="s">
        <v>190</v>
      </c>
      <c r="D42" s="516" t="s">
        <v>191</v>
      </c>
      <c r="E42" s="517"/>
      <c r="F42" s="516" t="s">
        <v>192</v>
      </c>
      <c r="G42" s="517"/>
      <c r="H42" s="512"/>
      <c r="I42" s="513"/>
      <c r="J42" s="510"/>
      <c r="K42" s="510"/>
      <c r="L42" s="512"/>
      <c r="M42" s="513"/>
      <c r="N42" s="510"/>
      <c r="O42" s="510"/>
      <c r="P42" s="166" t="s">
        <v>193</v>
      </c>
      <c r="Q42" s="167" t="s">
        <v>194</v>
      </c>
      <c r="R42" s="168"/>
    </row>
    <row r="43" spans="1:18" s="169" customFormat="1" ht="10.5">
      <c r="A43" s="509"/>
      <c r="B43" s="509"/>
      <c r="C43" s="511"/>
      <c r="D43" s="514"/>
      <c r="E43" s="515"/>
      <c r="F43" s="514"/>
      <c r="G43" s="515"/>
      <c r="H43" s="170"/>
      <c r="I43" s="171"/>
      <c r="J43" s="172"/>
      <c r="K43" s="172"/>
      <c r="L43" s="170"/>
      <c r="M43" s="171"/>
      <c r="N43" s="172"/>
      <c r="O43" s="172"/>
      <c r="P43" s="173"/>
      <c r="Q43" s="174"/>
      <c r="R43" s="175"/>
    </row>
    <row r="44" spans="1:18" s="169" customFormat="1" ht="10.5">
      <c r="A44" s="509"/>
      <c r="B44" s="509"/>
      <c r="C44" s="511"/>
      <c r="D44" s="514"/>
      <c r="E44" s="515"/>
      <c r="F44" s="514"/>
      <c r="G44" s="515"/>
      <c r="H44" s="170"/>
      <c r="I44" s="171"/>
      <c r="J44" s="172"/>
      <c r="K44" s="172"/>
      <c r="L44" s="170"/>
      <c r="M44" s="171"/>
      <c r="N44" s="172"/>
      <c r="O44" s="172"/>
      <c r="P44" s="173"/>
      <c r="Q44" s="174"/>
      <c r="R44" s="175"/>
    </row>
    <row r="45" spans="1:18" s="169" customFormat="1" ht="10.5">
      <c r="A45" s="509"/>
      <c r="B45" s="509"/>
      <c r="C45" s="511"/>
      <c r="D45" s="514"/>
      <c r="E45" s="515"/>
      <c r="F45" s="514"/>
      <c r="G45" s="515"/>
      <c r="H45" s="170"/>
      <c r="I45" s="171"/>
      <c r="J45" s="172"/>
      <c r="K45" s="172"/>
      <c r="L45" s="170"/>
      <c r="M45" s="171"/>
      <c r="N45" s="172"/>
      <c r="O45" s="172"/>
      <c r="P45" s="173"/>
      <c r="Q45" s="174"/>
      <c r="R45" s="175"/>
    </row>
    <row r="46" spans="1:18" s="169" customFormat="1" ht="10.5">
      <c r="A46" s="509"/>
      <c r="B46" s="509"/>
      <c r="C46" s="511"/>
      <c r="D46" s="514"/>
      <c r="E46" s="515"/>
      <c r="F46" s="514"/>
      <c r="G46" s="515"/>
      <c r="H46" s="170"/>
      <c r="I46" s="171"/>
      <c r="J46" s="172"/>
      <c r="K46" s="172"/>
      <c r="L46" s="170"/>
      <c r="M46" s="171"/>
      <c r="N46" s="172"/>
      <c r="O46" s="172"/>
      <c r="P46" s="173"/>
      <c r="Q46" s="174"/>
      <c r="R46" s="175"/>
    </row>
    <row r="47" spans="1:18" s="169" customFormat="1" ht="10.5">
      <c r="A47" s="509"/>
      <c r="B47" s="509"/>
      <c r="C47" s="511"/>
      <c r="D47" s="514"/>
      <c r="E47" s="515"/>
      <c r="F47" s="514"/>
      <c r="G47" s="515"/>
      <c r="H47" s="170"/>
      <c r="I47" s="171"/>
      <c r="J47" s="172"/>
      <c r="K47" s="172"/>
      <c r="L47" s="170"/>
      <c r="M47" s="171"/>
      <c r="N47" s="172"/>
      <c r="O47" s="172"/>
      <c r="P47" s="173"/>
      <c r="Q47" s="174"/>
      <c r="R47" s="175"/>
    </row>
    <row r="48" spans="1:18" s="169" customFormat="1" ht="10.5">
      <c r="A48" s="509"/>
      <c r="B48" s="509"/>
      <c r="C48" s="511"/>
      <c r="D48" s="514"/>
      <c r="E48" s="515"/>
      <c r="F48" s="514"/>
      <c r="G48" s="515"/>
      <c r="H48" s="170"/>
      <c r="I48" s="171"/>
      <c r="J48" s="172"/>
      <c r="K48" s="172"/>
      <c r="L48" s="170"/>
      <c r="M48" s="171"/>
      <c r="N48" s="172"/>
      <c r="O48" s="172"/>
      <c r="P48" s="173"/>
      <c r="Q48" s="174"/>
      <c r="R48" s="175"/>
    </row>
    <row r="49" spans="1:18" s="169" customFormat="1" ht="10.5">
      <c r="A49" s="509"/>
      <c r="B49" s="509"/>
      <c r="C49" s="511"/>
      <c r="D49" s="514"/>
      <c r="E49" s="515"/>
      <c r="F49" s="514"/>
      <c r="G49" s="515"/>
      <c r="H49" s="170"/>
      <c r="I49" s="171"/>
      <c r="J49" s="172"/>
      <c r="K49" s="172"/>
      <c r="L49" s="170"/>
      <c r="M49" s="171"/>
      <c r="N49" s="172"/>
      <c r="O49" s="172"/>
      <c r="P49" s="173"/>
      <c r="Q49" s="174"/>
      <c r="R49" s="175"/>
    </row>
    <row r="50" spans="1:18" s="169" customFormat="1" ht="10.5">
      <c r="A50" s="509"/>
      <c r="B50" s="509"/>
      <c r="C50" s="511"/>
      <c r="D50" s="514"/>
      <c r="E50" s="515"/>
      <c r="F50" s="514"/>
      <c r="G50" s="515"/>
      <c r="H50" s="170"/>
      <c r="I50" s="171"/>
      <c r="J50" s="172"/>
      <c r="K50" s="172"/>
      <c r="L50" s="170"/>
      <c r="M50" s="171"/>
      <c r="N50" s="172"/>
      <c r="O50" s="172"/>
      <c r="P50" s="173"/>
      <c r="Q50" s="174"/>
      <c r="R50" s="175"/>
    </row>
    <row r="51" spans="1:18" s="169" customFormat="1" ht="10.5">
      <c r="A51" s="509"/>
      <c r="B51" s="509"/>
      <c r="C51" s="511"/>
      <c r="D51" s="514"/>
      <c r="E51" s="515"/>
      <c r="F51" s="514"/>
      <c r="G51" s="515"/>
      <c r="H51" s="170"/>
      <c r="I51" s="171"/>
      <c r="J51" s="172"/>
      <c r="K51" s="172"/>
      <c r="L51" s="170"/>
      <c r="M51" s="171"/>
      <c r="N51" s="172"/>
      <c r="O51" s="172"/>
      <c r="P51" s="173"/>
      <c r="Q51" s="174"/>
      <c r="R51" s="175"/>
    </row>
    <row r="52" spans="1:18" s="169" customFormat="1" ht="10.5">
      <c r="A52" s="509"/>
      <c r="B52" s="509"/>
      <c r="C52" s="511"/>
      <c r="D52" s="514"/>
      <c r="E52" s="515"/>
      <c r="F52" s="514"/>
      <c r="G52" s="515"/>
      <c r="H52" s="170"/>
      <c r="I52" s="171"/>
      <c r="J52" s="172"/>
      <c r="K52" s="172"/>
      <c r="L52" s="170"/>
      <c r="M52" s="171"/>
      <c r="N52" s="172"/>
      <c r="O52" s="172"/>
      <c r="P52" s="173"/>
      <c r="Q52" s="174"/>
      <c r="R52" s="175"/>
    </row>
    <row r="53" spans="1:18" s="169" customFormat="1" ht="10.5">
      <c r="A53" s="509"/>
      <c r="B53" s="509"/>
      <c r="C53" s="511"/>
      <c r="D53" s="514"/>
      <c r="E53" s="515"/>
      <c r="F53" s="514"/>
      <c r="G53" s="515"/>
      <c r="H53" s="170"/>
      <c r="I53" s="171"/>
      <c r="J53" s="172"/>
      <c r="K53" s="172"/>
      <c r="L53" s="170"/>
      <c r="M53" s="171"/>
      <c r="N53" s="172"/>
      <c r="O53" s="172"/>
      <c r="P53" s="173"/>
      <c r="Q53" s="174"/>
      <c r="R53" s="175"/>
    </row>
    <row r="54" spans="1:18" s="169" customFormat="1" ht="10.5">
      <c r="A54" s="509"/>
      <c r="B54" s="509"/>
      <c r="C54" s="511"/>
      <c r="D54" s="514"/>
      <c r="E54" s="515"/>
      <c r="F54" s="514"/>
      <c r="G54" s="515"/>
      <c r="H54" s="170"/>
      <c r="I54" s="171"/>
      <c r="J54" s="172"/>
      <c r="K54" s="172"/>
      <c r="L54" s="170"/>
      <c r="M54" s="171"/>
      <c r="N54" s="172"/>
      <c r="O54" s="172"/>
      <c r="P54" s="173"/>
      <c r="Q54" s="174"/>
      <c r="R54" s="175"/>
    </row>
    <row r="55" spans="1:18" s="169" customFormat="1" ht="10.5">
      <c r="A55" s="509"/>
      <c r="B55" s="509"/>
      <c r="C55" s="511"/>
      <c r="D55" s="514"/>
      <c r="E55" s="515"/>
      <c r="F55" s="514"/>
      <c r="G55" s="515"/>
      <c r="H55" s="170"/>
      <c r="I55" s="171"/>
      <c r="J55" s="172"/>
      <c r="K55" s="172"/>
      <c r="L55" s="170"/>
      <c r="M55" s="171"/>
      <c r="N55" s="172"/>
      <c r="O55" s="172"/>
      <c r="P55" s="173"/>
      <c r="Q55" s="174"/>
      <c r="R55" s="175"/>
    </row>
    <row r="56" spans="1:18" s="169" customFormat="1" ht="10.5">
      <c r="A56" s="509"/>
      <c r="B56" s="509"/>
      <c r="C56" s="511"/>
      <c r="D56" s="514"/>
      <c r="E56" s="515"/>
      <c r="F56" s="514"/>
      <c r="G56" s="515"/>
      <c r="H56" s="170"/>
      <c r="I56" s="171"/>
      <c r="J56" s="172"/>
      <c r="K56" s="172"/>
      <c r="L56" s="170"/>
      <c r="M56" s="171"/>
      <c r="N56" s="172"/>
      <c r="O56" s="172"/>
      <c r="P56" s="173"/>
      <c r="Q56" s="174"/>
      <c r="R56" s="175"/>
    </row>
    <row r="57" spans="1:18" s="169" customFormat="1" ht="34.5" customHeight="1">
      <c r="A57" s="509"/>
      <c r="B57" s="509"/>
      <c r="C57" s="511"/>
      <c r="D57" s="514"/>
      <c r="E57" s="515"/>
      <c r="F57" s="514"/>
      <c r="G57" s="515"/>
      <c r="H57" s="170"/>
      <c r="I57" s="172"/>
      <c r="J57" s="170"/>
      <c r="K57" s="171"/>
      <c r="L57" s="172"/>
      <c r="M57" s="171"/>
      <c r="N57" s="172"/>
      <c r="O57" s="171"/>
      <c r="P57" s="176"/>
      <c r="Q57" s="174"/>
      <c r="R57" s="175"/>
    </row>
    <row r="58" spans="1:18" s="169" customFormat="1" ht="34.5" customHeight="1">
      <c r="A58" s="509"/>
      <c r="B58" s="509"/>
      <c r="C58" s="511"/>
      <c r="D58" s="514"/>
      <c r="E58" s="515"/>
      <c r="F58" s="514"/>
      <c r="G58" s="515"/>
      <c r="H58" s="170"/>
      <c r="I58" s="172"/>
      <c r="J58" s="170"/>
      <c r="K58" s="171"/>
      <c r="L58" s="172"/>
      <c r="M58" s="172"/>
      <c r="N58" s="170"/>
      <c r="O58" s="171"/>
      <c r="P58" s="174"/>
      <c r="Q58" s="173"/>
      <c r="R58" s="177"/>
    </row>
    <row r="59" spans="1:18" s="169" customFormat="1" ht="34.5" customHeight="1">
      <c r="A59" s="509"/>
      <c r="B59" s="509"/>
      <c r="C59" s="511"/>
      <c r="D59" s="514"/>
      <c r="E59" s="515"/>
      <c r="F59" s="514"/>
      <c r="G59" s="515"/>
      <c r="H59" s="170"/>
      <c r="I59" s="172"/>
      <c r="J59" s="170"/>
      <c r="K59" s="171"/>
      <c r="L59" s="172"/>
      <c r="M59" s="172"/>
      <c r="N59" s="170"/>
      <c r="O59" s="171"/>
      <c r="P59" s="174"/>
      <c r="Q59" s="173"/>
      <c r="R59" s="177"/>
    </row>
    <row r="60" spans="1:18" s="169" customFormat="1" ht="46.5" customHeight="1">
      <c r="A60" s="509"/>
      <c r="B60" s="509"/>
      <c r="C60" s="511"/>
      <c r="D60" s="514"/>
      <c r="E60" s="515"/>
      <c r="F60" s="514"/>
      <c r="G60" s="515"/>
      <c r="H60" s="170"/>
      <c r="I60" s="172"/>
      <c r="J60" s="170"/>
      <c r="K60" s="171"/>
      <c r="L60" s="172"/>
      <c r="M60" s="172"/>
      <c r="N60" s="170"/>
      <c r="O60" s="171"/>
      <c r="P60" s="174"/>
      <c r="Q60" s="173"/>
      <c r="R60" s="177"/>
    </row>
    <row r="61" spans="1:18" s="169" customFormat="1" ht="46.5" customHeight="1">
      <c r="A61" s="509"/>
      <c r="B61" s="509"/>
      <c r="C61" s="511"/>
      <c r="D61" s="514"/>
      <c r="E61" s="515"/>
      <c r="F61" s="514"/>
      <c r="G61" s="515"/>
      <c r="H61" s="170"/>
      <c r="I61" s="172"/>
      <c r="J61" s="170"/>
      <c r="K61" s="171"/>
      <c r="L61" s="172"/>
      <c r="M61" s="172"/>
      <c r="N61" s="170"/>
      <c r="O61" s="171"/>
      <c r="P61" s="174"/>
      <c r="Q61" s="173"/>
      <c r="R61" s="177"/>
    </row>
    <row r="62" spans="1:18" s="169" customFormat="1" ht="38.25" customHeight="1">
      <c r="A62" s="509"/>
      <c r="B62" s="509"/>
      <c r="C62" s="511"/>
      <c r="D62" s="514"/>
      <c r="E62" s="515"/>
      <c r="F62" s="514"/>
      <c r="G62" s="515"/>
      <c r="H62" s="170"/>
      <c r="I62" s="172"/>
      <c r="J62" s="170"/>
      <c r="K62" s="171"/>
      <c r="L62" s="172"/>
      <c r="M62" s="172"/>
      <c r="N62" s="170"/>
      <c r="O62" s="171"/>
      <c r="P62" s="174"/>
      <c r="Q62" s="173"/>
      <c r="R62" s="177"/>
    </row>
    <row r="63" spans="1:18" s="169" customFormat="1" ht="2.25" customHeight="1">
      <c r="A63" s="509"/>
      <c r="B63" s="509"/>
      <c r="C63" s="511"/>
      <c r="D63" s="178"/>
      <c r="E63" s="179"/>
      <c r="F63" s="180"/>
      <c r="G63" s="181"/>
      <c r="H63" s="182"/>
      <c r="I63" s="183"/>
      <c r="J63" s="182"/>
      <c r="K63" s="184"/>
      <c r="L63" s="183"/>
      <c r="M63" s="183"/>
      <c r="N63" s="183"/>
      <c r="O63" s="184"/>
      <c r="P63" s="185"/>
      <c r="Q63" s="185"/>
      <c r="R63" s="186"/>
    </row>
    <row r="64" spans="1:18" s="169" customFormat="1" ht="2.25" customHeight="1">
      <c r="A64" s="393"/>
      <c r="B64" s="393"/>
      <c r="C64" s="394"/>
      <c r="D64" s="174"/>
      <c r="E64" s="174"/>
      <c r="F64" s="393"/>
      <c r="G64" s="393"/>
      <c r="H64" s="172"/>
      <c r="I64" s="172"/>
      <c r="J64" s="172"/>
      <c r="K64" s="172"/>
      <c r="L64" s="172"/>
      <c r="M64" s="172"/>
      <c r="N64" s="172"/>
      <c r="O64" s="172"/>
      <c r="P64" s="174"/>
      <c r="Q64" s="174"/>
      <c r="R64" s="395"/>
    </row>
    <row r="65" spans="1:18" s="169" customFormat="1" ht="2.25" customHeight="1">
      <c r="A65" s="393"/>
      <c r="B65" s="393"/>
      <c r="C65" s="394"/>
      <c r="D65" s="174"/>
      <c r="E65" s="174"/>
      <c r="F65" s="393"/>
      <c r="G65" s="393"/>
      <c r="H65" s="172"/>
      <c r="I65" s="172"/>
      <c r="J65" s="172"/>
      <c r="K65" s="172"/>
      <c r="L65" s="172"/>
      <c r="M65" s="172"/>
      <c r="N65" s="172"/>
      <c r="O65" s="172"/>
      <c r="P65" s="174"/>
      <c r="Q65" s="174"/>
      <c r="R65" s="395"/>
    </row>
    <row r="66" spans="1:18" s="169" customFormat="1" ht="2.25" customHeight="1">
      <c r="A66" s="393"/>
      <c r="B66" s="393"/>
      <c r="C66" s="394"/>
      <c r="D66" s="174"/>
      <c r="E66" s="174"/>
      <c r="F66" s="393"/>
      <c r="G66" s="393"/>
      <c r="H66" s="172"/>
      <c r="I66" s="172"/>
      <c r="J66" s="172"/>
      <c r="K66" s="172"/>
      <c r="L66" s="172"/>
      <c r="M66" s="172"/>
      <c r="N66" s="172"/>
      <c r="O66" s="172"/>
      <c r="P66" s="174"/>
      <c r="Q66" s="174"/>
      <c r="R66" s="395"/>
    </row>
    <row r="67" spans="1:18" s="169" customFormat="1" ht="1.5" customHeight="1">
      <c r="A67" s="393"/>
      <c r="B67" s="393"/>
      <c r="C67" s="394"/>
      <c r="D67" s="174"/>
      <c r="E67" s="174"/>
      <c r="F67" s="393"/>
      <c r="G67" s="393"/>
      <c r="H67" s="172"/>
      <c r="I67" s="172"/>
      <c r="J67" s="172"/>
      <c r="K67" s="172"/>
      <c r="L67" s="172"/>
      <c r="M67" s="172"/>
      <c r="N67" s="172"/>
      <c r="O67" s="172"/>
      <c r="P67" s="174"/>
      <c r="Q67" s="174"/>
      <c r="R67" s="395"/>
    </row>
    <row r="68" spans="9:11" ht="15" hidden="1">
      <c r="I68" s="161"/>
      <c r="J68" s="161"/>
      <c r="K68" s="161"/>
    </row>
    <row r="69" ht="15">
      <c r="B69" s="159" t="s">
        <v>195</v>
      </c>
    </row>
    <row r="70" ht="3.75" customHeight="1"/>
    <row r="71" spans="1:17" ht="28.5" customHeight="1">
      <c r="A71" s="505" t="s">
        <v>196</v>
      </c>
      <c r="B71" s="505"/>
      <c r="C71" s="505"/>
      <c r="D71" s="506" t="s">
        <v>197</v>
      </c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8"/>
      <c r="P71" s="499" t="s">
        <v>198</v>
      </c>
      <c r="Q71" s="500"/>
    </row>
    <row r="72" spans="1:17" ht="15">
      <c r="A72" s="505"/>
      <c r="B72" s="505"/>
      <c r="C72" s="505"/>
      <c r="D72" s="187">
        <v>1</v>
      </c>
      <c r="E72" s="187">
        <v>2</v>
      </c>
      <c r="F72" s="187">
        <v>3</v>
      </c>
      <c r="G72" s="187">
        <v>4</v>
      </c>
      <c r="H72" s="187">
        <v>5</v>
      </c>
      <c r="I72" s="187">
        <v>6</v>
      </c>
      <c r="J72" s="187">
        <v>7</v>
      </c>
      <c r="K72" s="187">
        <v>8</v>
      </c>
      <c r="L72" s="187">
        <v>9</v>
      </c>
      <c r="M72" s="187">
        <v>10</v>
      </c>
      <c r="N72" s="187">
        <v>11</v>
      </c>
      <c r="O72" s="187">
        <v>12</v>
      </c>
      <c r="P72" s="518"/>
      <c r="Q72" s="519"/>
    </row>
    <row r="73" spans="1:17" ht="118.5" customHeight="1">
      <c r="A73" s="520" t="s">
        <v>199</v>
      </c>
      <c r="B73" s="520"/>
      <c r="C73" s="521"/>
      <c r="D73" s="188">
        <f>D74</f>
        <v>903</v>
      </c>
      <c r="E73" s="188">
        <f aca="true" t="shared" si="0" ref="E73:O73">E74</f>
        <v>903</v>
      </c>
      <c r="F73" s="188">
        <f t="shared" si="0"/>
        <v>903</v>
      </c>
      <c r="G73" s="188">
        <f t="shared" si="0"/>
        <v>903</v>
      </c>
      <c r="H73" s="188">
        <f t="shared" si="0"/>
        <v>903</v>
      </c>
      <c r="I73" s="188">
        <f t="shared" si="0"/>
        <v>903</v>
      </c>
      <c r="J73" s="188">
        <f t="shared" si="0"/>
        <v>903</v>
      </c>
      <c r="K73" s="188">
        <f t="shared" si="0"/>
        <v>903</v>
      </c>
      <c r="L73" s="188">
        <f t="shared" si="0"/>
        <v>899</v>
      </c>
      <c r="M73" s="188">
        <f t="shared" si="0"/>
        <v>899</v>
      </c>
      <c r="N73" s="188">
        <f t="shared" si="0"/>
        <v>899</v>
      </c>
      <c r="O73" s="188">
        <f t="shared" si="0"/>
        <v>1074</v>
      </c>
      <c r="P73" s="522">
        <f>ROUND((D73+E73+F73+G73+H73+I73+J73+K73+L73+M73+N73+O73)/12,0)</f>
        <v>916</v>
      </c>
      <c r="Q73" s="523"/>
    </row>
    <row r="74" spans="1:17" ht="50.25" customHeight="1">
      <c r="A74" s="524" t="s">
        <v>200</v>
      </c>
      <c r="B74" s="520"/>
      <c r="C74" s="521"/>
      <c r="D74" s="189">
        <v>903</v>
      </c>
      <c r="E74" s="190">
        <f aca="true" t="shared" si="1" ref="E74:N76">D74</f>
        <v>903</v>
      </c>
      <c r="F74" s="190">
        <f t="shared" si="1"/>
        <v>903</v>
      </c>
      <c r="G74" s="190">
        <f t="shared" si="1"/>
        <v>903</v>
      </c>
      <c r="H74" s="190">
        <f t="shared" si="1"/>
        <v>903</v>
      </c>
      <c r="I74" s="190">
        <f t="shared" si="1"/>
        <v>903</v>
      </c>
      <c r="J74" s="190">
        <f t="shared" si="1"/>
        <v>903</v>
      </c>
      <c r="K74" s="190">
        <f>J74</f>
        <v>903</v>
      </c>
      <c r="L74" s="190">
        <v>899</v>
      </c>
      <c r="M74" s="190">
        <f t="shared" si="1"/>
        <v>899</v>
      </c>
      <c r="N74" s="190">
        <f t="shared" si="1"/>
        <v>899</v>
      </c>
      <c r="O74" s="190">
        <v>1074</v>
      </c>
      <c r="P74" s="522">
        <f>ROUND((D74+E74+F74+G74+H74+I74+J74+K74+L74+M74+N74+O74)/12,0)</f>
        <v>916</v>
      </c>
      <c r="Q74" s="523"/>
    </row>
    <row r="75" spans="1:17" ht="34.5" customHeight="1">
      <c r="A75" s="524" t="s">
        <v>201</v>
      </c>
      <c r="B75" s="520"/>
      <c r="C75" s="521"/>
      <c r="D75" s="190">
        <f>D74</f>
        <v>903</v>
      </c>
      <c r="E75" s="190">
        <f t="shared" si="1"/>
        <v>903</v>
      </c>
      <c r="F75" s="190">
        <f t="shared" si="1"/>
        <v>903</v>
      </c>
      <c r="G75" s="190">
        <f t="shared" si="1"/>
        <v>903</v>
      </c>
      <c r="H75" s="190">
        <f t="shared" si="1"/>
        <v>903</v>
      </c>
      <c r="I75" s="190">
        <f t="shared" si="1"/>
        <v>903</v>
      </c>
      <c r="J75" s="190">
        <f t="shared" si="1"/>
        <v>903</v>
      </c>
      <c r="K75" s="190">
        <f>K74</f>
        <v>903</v>
      </c>
      <c r="L75" s="190">
        <f>L74</f>
        <v>899</v>
      </c>
      <c r="M75" s="190">
        <f t="shared" si="1"/>
        <v>899</v>
      </c>
      <c r="N75" s="190">
        <f t="shared" si="1"/>
        <v>899</v>
      </c>
      <c r="O75" s="190">
        <f>O74</f>
        <v>1074</v>
      </c>
      <c r="P75" s="522">
        <f>ROUND((D75+E75+F75+G75+H75+I75+J75+K75+L75+M75+N75+O75)/12,0)</f>
        <v>916</v>
      </c>
      <c r="Q75" s="523"/>
    </row>
    <row r="76" spans="1:17" ht="42" customHeight="1">
      <c r="A76" s="524" t="s">
        <v>202</v>
      </c>
      <c r="B76" s="520"/>
      <c r="C76" s="521"/>
      <c r="D76" s="190">
        <f>D75</f>
        <v>903</v>
      </c>
      <c r="E76" s="190">
        <f t="shared" si="1"/>
        <v>903</v>
      </c>
      <c r="F76" s="190">
        <f t="shared" si="1"/>
        <v>903</v>
      </c>
      <c r="G76" s="190">
        <f t="shared" si="1"/>
        <v>903</v>
      </c>
      <c r="H76" s="190">
        <f t="shared" si="1"/>
        <v>903</v>
      </c>
      <c r="I76" s="190">
        <f t="shared" si="1"/>
        <v>903</v>
      </c>
      <c r="J76" s="190">
        <f t="shared" si="1"/>
        <v>903</v>
      </c>
      <c r="K76" s="190">
        <f>K75</f>
        <v>903</v>
      </c>
      <c r="L76" s="190">
        <f>L75</f>
        <v>899</v>
      </c>
      <c r="M76" s="190">
        <f t="shared" si="1"/>
        <v>899</v>
      </c>
      <c r="N76" s="190">
        <f t="shared" si="1"/>
        <v>899</v>
      </c>
      <c r="O76" s="190">
        <f>O75</f>
        <v>1074</v>
      </c>
      <c r="P76" s="522">
        <f>ROUND((D76+E76+F76+G76+H76+I76+J76+K76+L76+M76+N76+O76)/12,0)</f>
        <v>916</v>
      </c>
      <c r="Q76" s="523"/>
    </row>
    <row r="77" ht="15" hidden="1"/>
    <row r="78" ht="15.75" thickBot="1"/>
    <row r="79" spans="1:2" ht="15">
      <c r="A79" s="191" t="s">
        <v>203</v>
      </c>
      <c r="B79" s="192" t="s">
        <v>204</v>
      </c>
    </row>
    <row r="81" ht="15" hidden="1"/>
    <row r="82" ht="15" hidden="1"/>
    <row r="83" ht="15" hidden="1"/>
    <row r="84" ht="15" hidden="1"/>
    <row r="85" spans="1:18" ht="27.75" customHeight="1" hidden="1">
      <c r="A85" s="525" t="s">
        <v>205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</row>
    <row r="86" spans="1:18" ht="15" customHeight="1">
      <c r="A86" s="525" t="s">
        <v>205</v>
      </c>
      <c r="B86" s="525"/>
      <c r="C86" s="525"/>
      <c r="D86" s="525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</row>
    <row r="87" spans="1:18" ht="15">
      <c r="A87" s="525"/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</row>
    <row r="88" ht="15">
      <c r="B88" s="159" t="s">
        <v>206</v>
      </c>
    </row>
    <row r="90" ht="15">
      <c r="B90" s="159" t="s">
        <v>207</v>
      </c>
    </row>
    <row r="92" spans="1:17" ht="15" customHeight="1">
      <c r="A92" s="505" t="s">
        <v>208</v>
      </c>
      <c r="B92" s="505"/>
      <c r="C92" s="505"/>
      <c r="D92" s="506" t="s">
        <v>197</v>
      </c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8"/>
      <c r="P92" s="499" t="s">
        <v>209</v>
      </c>
      <c r="Q92" s="500"/>
    </row>
    <row r="93" spans="1:17" ht="15">
      <c r="A93" s="505"/>
      <c r="B93" s="505"/>
      <c r="C93" s="505"/>
      <c r="D93" s="187">
        <v>1</v>
      </c>
      <c r="E93" s="187">
        <v>2</v>
      </c>
      <c r="F93" s="187">
        <v>3</v>
      </c>
      <c r="G93" s="187">
        <v>4</v>
      </c>
      <c r="H93" s="187">
        <v>5</v>
      </c>
      <c r="I93" s="187">
        <v>6</v>
      </c>
      <c r="J93" s="187">
        <v>7</v>
      </c>
      <c r="K93" s="187">
        <v>8</v>
      </c>
      <c r="L93" s="187">
        <v>9</v>
      </c>
      <c r="M93" s="187">
        <v>10</v>
      </c>
      <c r="N93" s="187">
        <v>11</v>
      </c>
      <c r="O93" s="187">
        <v>12</v>
      </c>
      <c r="P93" s="518"/>
      <c r="Q93" s="519"/>
    </row>
    <row r="94" spans="1:17" ht="91.5" customHeight="1">
      <c r="A94" s="520" t="s">
        <v>210</v>
      </c>
      <c r="B94" s="520"/>
      <c r="C94" s="521"/>
      <c r="D94" s="193">
        <f>D115+D127</f>
        <v>4369706.46</v>
      </c>
      <c r="E94" s="193">
        <f aca="true" t="shared" si="2" ref="E94:P94">E115+E127</f>
        <v>4493785.3</v>
      </c>
      <c r="F94" s="193">
        <f t="shared" si="2"/>
        <v>4939188.3</v>
      </c>
      <c r="G94" s="193">
        <f t="shared" si="2"/>
        <v>5130605.9</v>
      </c>
      <c r="H94" s="193">
        <f t="shared" si="2"/>
        <v>6056023</v>
      </c>
      <c r="I94" s="193">
        <f t="shared" si="2"/>
        <v>3745950.71</v>
      </c>
      <c r="J94" s="193">
        <f t="shared" si="2"/>
        <v>3503460.29</v>
      </c>
      <c r="K94" s="193">
        <f>K115+K127</f>
        <v>3312163</v>
      </c>
      <c r="L94" s="193">
        <f t="shared" si="2"/>
        <v>4448187.5600000005</v>
      </c>
      <c r="M94" s="193">
        <f t="shared" si="2"/>
        <v>5359701.51</v>
      </c>
      <c r="N94" s="193">
        <f t="shared" si="2"/>
        <v>5155565.300000001</v>
      </c>
      <c r="O94" s="193">
        <f t="shared" si="2"/>
        <v>5165880.67</v>
      </c>
      <c r="P94" s="526">
        <f t="shared" si="2"/>
        <v>55680218</v>
      </c>
      <c r="Q94" s="527"/>
    </row>
    <row r="95" ht="15" hidden="1"/>
    <row r="96" ht="15.75" thickBot="1"/>
    <row r="97" spans="1:13" ht="15">
      <c r="A97" s="191" t="s">
        <v>203</v>
      </c>
      <c r="B97" s="192" t="s">
        <v>204</v>
      </c>
      <c r="M97" s="159" t="s">
        <v>71</v>
      </c>
    </row>
    <row r="99" spans="1:18" ht="29.25" customHeight="1">
      <c r="A99" s="525" t="s">
        <v>205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</row>
    <row r="100" ht="15" hidden="1"/>
    <row r="101" ht="15" hidden="1"/>
    <row r="102" ht="15" hidden="1"/>
    <row r="103" ht="15">
      <c r="B103" s="159" t="s">
        <v>211</v>
      </c>
    </row>
    <row r="105" spans="1:17" ht="15" customHeight="1">
      <c r="A105" s="505" t="s">
        <v>196</v>
      </c>
      <c r="B105" s="505"/>
      <c r="C105" s="505" t="s">
        <v>212</v>
      </c>
      <c r="D105" s="506" t="s">
        <v>213</v>
      </c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8"/>
      <c r="P105" s="505" t="s">
        <v>209</v>
      </c>
      <c r="Q105" s="505"/>
    </row>
    <row r="106" spans="1:17" ht="41.25" customHeight="1">
      <c r="A106" s="505"/>
      <c r="B106" s="505"/>
      <c r="C106" s="505"/>
      <c r="D106" s="187">
        <v>1</v>
      </c>
      <c r="E106" s="187">
        <v>2</v>
      </c>
      <c r="F106" s="187">
        <v>3</v>
      </c>
      <c r="G106" s="187">
        <v>4</v>
      </c>
      <c r="H106" s="187">
        <v>5</v>
      </c>
      <c r="I106" s="187">
        <v>6</v>
      </c>
      <c r="J106" s="187">
        <v>7</v>
      </c>
      <c r="K106" s="187">
        <v>8</v>
      </c>
      <c r="L106" s="187">
        <v>9</v>
      </c>
      <c r="M106" s="187">
        <v>10</v>
      </c>
      <c r="N106" s="187">
        <v>11</v>
      </c>
      <c r="O106" s="187">
        <v>12</v>
      </c>
      <c r="P106" s="505"/>
      <c r="Q106" s="505"/>
    </row>
    <row r="107" spans="1:17" ht="48.75" customHeight="1">
      <c r="A107" s="528" t="s">
        <v>364</v>
      </c>
      <c r="B107" s="529"/>
      <c r="C107" s="194" t="s">
        <v>214</v>
      </c>
      <c r="D107" s="195">
        <f>ROUND(D108/D73,2)</f>
        <v>91.76</v>
      </c>
      <c r="E107" s="195">
        <f aca="true" t="shared" si="3" ref="E107:O107">ROUND(E108/E73,2)</f>
        <v>298.67</v>
      </c>
      <c r="F107" s="195">
        <f t="shared" si="3"/>
        <v>298.67</v>
      </c>
      <c r="G107" s="195">
        <f t="shared" si="3"/>
        <v>298.67</v>
      </c>
      <c r="H107" s="195">
        <f t="shared" si="3"/>
        <v>326.54</v>
      </c>
      <c r="I107" s="195">
        <f t="shared" si="3"/>
        <v>270.79</v>
      </c>
      <c r="J107" s="195">
        <f t="shared" si="3"/>
        <v>298.67</v>
      </c>
      <c r="K107" s="195">
        <f t="shared" si="3"/>
        <v>298.67</v>
      </c>
      <c r="L107" s="195">
        <f t="shared" si="3"/>
        <v>299.99</v>
      </c>
      <c r="M107" s="195">
        <f t="shared" si="3"/>
        <v>299.99</v>
      </c>
      <c r="N107" s="195">
        <f t="shared" si="3"/>
        <v>299.99</v>
      </c>
      <c r="O107" s="195">
        <f t="shared" si="3"/>
        <v>425.08</v>
      </c>
      <c r="P107" s="532">
        <f aca="true" t="shared" si="4" ref="P107:P114">SUM(D107:O107)</f>
        <v>3507.49</v>
      </c>
      <c r="Q107" s="532"/>
    </row>
    <row r="108" spans="1:20" ht="58.5" customHeight="1">
      <c r="A108" s="530"/>
      <c r="B108" s="531"/>
      <c r="C108" s="194" t="s">
        <v>215</v>
      </c>
      <c r="D108" s="196">
        <f>'вспомогательная таблица'!D32</f>
        <v>82856</v>
      </c>
      <c r="E108" s="196">
        <f>'вспомогательная таблица'!E32</f>
        <v>269695</v>
      </c>
      <c r="F108" s="196">
        <f>'вспомогательная таблица'!F32</f>
        <v>269695</v>
      </c>
      <c r="G108" s="196">
        <f>'вспомогательная таблица'!H32</f>
        <v>269695</v>
      </c>
      <c r="H108" s="196">
        <f>'вспомогательная таблица'!I32</f>
        <v>294868</v>
      </c>
      <c r="I108" s="196">
        <f>'вспомогательная таблица'!J32</f>
        <v>244522</v>
      </c>
      <c r="J108" s="196">
        <f>'вспомогательная таблица'!L32</f>
        <v>269695</v>
      </c>
      <c r="K108" s="196">
        <f>'вспомогательная таблица'!M32</f>
        <v>269695</v>
      </c>
      <c r="L108" s="196">
        <f>'вспомогательная таблица'!N32</f>
        <v>269695</v>
      </c>
      <c r="M108" s="196">
        <f>'вспомогательная таблица'!P32</f>
        <v>269695</v>
      </c>
      <c r="N108" s="196">
        <f>'вспомогательная таблица'!Q32</f>
        <v>269695</v>
      </c>
      <c r="O108" s="196">
        <f>'вспомогательная таблица'!R32</f>
        <v>456534</v>
      </c>
      <c r="P108" s="532">
        <f t="shared" si="4"/>
        <v>3236340</v>
      </c>
      <c r="Q108" s="532"/>
      <c r="T108" s="159">
        <v>2</v>
      </c>
    </row>
    <row r="109" spans="1:17" ht="41.25" customHeight="1">
      <c r="A109" s="533" t="s">
        <v>365</v>
      </c>
      <c r="B109" s="533"/>
      <c r="C109" s="194" t="s">
        <v>214</v>
      </c>
      <c r="D109" s="195">
        <f>ROUND(D110/D73,2)</f>
        <v>609.18</v>
      </c>
      <c r="E109" s="195">
        <f aca="true" t="shared" si="5" ref="E109:O109">ROUND(E110/E73,2)</f>
        <v>554.54</v>
      </c>
      <c r="F109" s="195">
        <f t="shared" si="5"/>
        <v>696.27</v>
      </c>
      <c r="G109" s="195">
        <f t="shared" si="5"/>
        <v>557.76</v>
      </c>
      <c r="H109" s="195">
        <f t="shared" si="5"/>
        <v>610.08</v>
      </c>
      <c r="I109" s="195">
        <f t="shared" si="5"/>
        <v>74.99</v>
      </c>
      <c r="J109" s="195">
        <f t="shared" si="5"/>
        <v>351.02</v>
      </c>
      <c r="K109" s="195">
        <f t="shared" si="5"/>
        <v>229.24</v>
      </c>
      <c r="L109" s="195">
        <f t="shared" si="5"/>
        <v>710.51</v>
      </c>
      <c r="M109" s="195">
        <f t="shared" si="5"/>
        <v>300.78</v>
      </c>
      <c r="N109" s="195">
        <f t="shared" si="5"/>
        <v>501.28</v>
      </c>
      <c r="O109" s="195">
        <f t="shared" si="5"/>
        <v>454.41</v>
      </c>
      <c r="P109" s="532">
        <f t="shared" si="4"/>
        <v>5650.0599999999995</v>
      </c>
      <c r="Q109" s="532"/>
    </row>
    <row r="110" spans="1:20" ht="54" customHeight="1">
      <c r="A110" s="533"/>
      <c r="B110" s="533"/>
      <c r="C110" s="194" t="s">
        <v>215</v>
      </c>
      <c r="D110" s="196">
        <f>'вспомогательная таблица'!D34</f>
        <v>550086.46</v>
      </c>
      <c r="E110" s="196">
        <f>'вспомогательная таблица'!E34</f>
        <v>500750.3</v>
      </c>
      <c r="F110" s="196">
        <f>'вспомогательная таблица'!F34</f>
        <v>628728.3</v>
      </c>
      <c r="G110" s="373">
        <f>'вспомогательная таблица'!H34</f>
        <v>503652.89999999997</v>
      </c>
      <c r="H110" s="373">
        <f>'вспомогательная таблица'!I34</f>
        <v>550903</v>
      </c>
      <c r="I110" s="373">
        <f>'вспомогательная таблица'!J34</f>
        <v>67714.70999999999</v>
      </c>
      <c r="J110" s="196">
        <f>'вспомогательная таблица'!L34</f>
        <v>316975.29000000004</v>
      </c>
      <c r="K110" s="196">
        <f>'вспомогательная таблица'!M34+'вспомогательная таблица'!M33</f>
        <v>207000</v>
      </c>
      <c r="L110" s="196">
        <f>'вспомогательная таблица'!N34</f>
        <v>638750.56</v>
      </c>
      <c r="M110" s="196">
        <f>'вспомогательная таблица'!P34</f>
        <v>270402.51</v>
      </c>
      <c r="N110" s="196">
        <f>'вспомогательная таблица'!Q34</f>
        <v>450650.3</v>
      </c>
      <c r="O110" s="196">
        <f>'вспомогательная таблица'!R34</f>
        <v>488032.6699999999</v>
      </c>
      <c r="P110" s="532">
        <f t="shared" si="4"/>
        <v>5173647</v>
      </c>
      <c r="Q110" s="532"/>
      <c r="T110" s="159">
        <v>2</v>
      </c>
    </row>
    <row r="111" spans="1:17" ht="57.75" customHeight="1">
      <c r="A111" s="528" t="s">
        <v>366</v>
      </c>
      <c r="B111" s="529"/>
      <c r="C111" s="194" t="s">
        <v>214</v>
      </c>
      <c r="D111" s="195">
        <f>ROUND(D112/D73,2)</f>
        <v>2403.22</v>
      </c>
      <c r="E111" s="195">
        <f aca="true" t="shared" si="6" ref="E111:O111">ROUND(E112/E73,2)</f>
        <v>2104.74</v>
      </c>
      <c r="F111" s="195">
        <f t="shared" si="6"/>
        <v>2116.84</v>
      </c>
      <c r="G111" s="195">
        <f t="shared" si="6"/>
        <v>2625.82</v>
      </c>
      <c r="H111" s="195">
        <f t="shared" si="6"/>
        <v>3283.4</v>
      </c>
      <c r="I111" s="195">
        <f t="shared" si="6"/>
        <v>2275.78</v>
      </c>
      <c r="J111" s="195">
        <f t="shared" si="6"/>
        <v>1742.33</v>
      </c>
      <c r="K111" s="195">
        <f t="shared" si="6"/>
        <v>1742.34</v>
      </c>
      <c r="L111" s="195">
        <f t="shared" si="6"/>
        <v>2225.91</v>
      </c>
      <c r="M111" s="195">
        <f t="shared" si="6"/>
        <v>1414.07</v>
      </c>
      <c r="N111" s="195">
        <f t="shared" si="6"/>
        <v>1609</v>
      </c>
      <c r="O111" s="195">
        <f t="shared" si="6"/>
        <v>1064.47</v>
      </c>
      <c r="P111" s="532">
        <f t="shared" si="4"/>
        <v>24607.92</v>
      </c>
      <c r="Q111" s="532"/>
    </row>
    <row r="112" spans="1:20" ht="57.75" customHeight="1">
      <c r="A112" s="530"/>
      <c r="B112" s="531"/>
      <c r="C112" s="194" t="s">
        <v>215</v>
      </c>
      <c r="D112" s="196">
        <f>'вспомогательная таблица'!D29</f>
        <v>2170106.4</v>
      </c>
      <c r="E112" s="196">
        <f>'вспомогательная таблица'!E29</f>
        <v>1900576.25</v>
      </c>
      <c r="F112" s="196">
        <f>'вспомогательная таблица'!F29</f>
        <v>1911507.25</v>
      </c>
      <c r="G112" s="373">
        <f>'вспомогательная таблица'!H29</f>
        <v>2371114.4</v>
      </c>
      <c r="H112" s="373">
        <f>'вспомогательная таблица'!I29</f>
        <v>2964908.15</v>
      </c>
      <c r="I112" s="373">
        <f>'вспомогательная таблица'!J29</f>
        <v>2055032.2</v>
      </c>
      <c r="J112" s="196">
        <f>'вспомогательная таблица'!L29</f>
        <v>1573328.2</v>
      </c>
      <c r="K112" s="196">
        <f>'вспомогательная таблица'!M29</f>
        <v>1573329.2</v>
      </c>
      <c r="L112" s="196">
        <f>'вспомогательная таблица'!N29</f>
        <v>2001091.4</v>
      </c>
      <c r="M112" s="196">
        <f>'вспомогательная таблица'!P29</f>
        <v>1271245.4499999997</v>
      </c>
      <c r="N112" s="196">
        <f>'вспомогательная таблица'!Q29</f>
        <v>1446487.4500000002</v>
      </c>
      <c r="O112" s="196">
        <f>'вспомогательная таблица'!R29</f>
        <v>1143237.97</v>
      </c>
      <c r="P112" s="532">
        <f t="shared" si="4"/>
        <v>22381964.319999997</v>
      </c>
      <c r="Q112" s="532"/>
      <c r="T112" s="159">
        <v>1</v>
      </c>
    </row>
    <row r="113" spans="1:17" ht="41.25" customHeight="1">
      <c r="A113" s="533" t="s">
        <v>367</v>
      </c>
      <c r="B113" s="533"/>
      <c r="C113" s="194" t="s">
        <v>214</v>
      </c>
      <c r="D113" s="195">
        <f>D114/D73</f>
        <v>1602.1457364341086</v>
      </c>
      <c r="E113" s="195">
        <f aca="true" t="shared" si="7" ref="E113:O113">E114/E73</f>
        <v>1900.6287375415282</v>
      </c>
      <c r="F113" s="195">
        <f t="shared" si="7"/>
        <v>1900.6287375415282</v>
      </c>
      <c r="G113" s="195">
        <f t="shared" si="7"/>
        <v>1602.1457364341086</v>
      </c>
      <c r="H113" s="195">
        <f t="shared" si="7"/>
        <v>2375.7960686600222</v>
      </c>
      <c r="I113" s="195">
        <f t="shared" si="7"/>
        <v>1509.1182724252492</v>
      </c>
      <c r="J113" s="195">
        <f t="shared" si="7"/>
        <v>898.6221483942414</v>
      </c>
      <c r="K113" s="195">
        <f t="shared" si="7"/>
        <v>1275.9012181616833</v>
      </c>
      <c r="L113" s="195">
        <f t="shared" si="7"/>
        <v>1711.5134593993328</v>
      </c>
      <c r="M113" s="195">
        <f t="shared" si="7"/>
        <v>3355.595717463849</v>
      </c>
      <c r="N113" s="195">
        <f t="shared" si="7"/>
        <v>3204.67914349277</v>
      </c>
      <c r="O113" s="195">
        <f t="shared" si="7"/>
        <v>2865.992579143389</v>
      </c>
      <c r="P113" s="532">
        <f t="shared" si="4"/>
        <v>24202.76755509181</v>
      </c>
      <c r="Q113" s="532"/>
    </row>
    <row r="114" spans="1:20" ht="54" customHeight="1">
      <c r="A114" s="533"/>
      <c r="B114" s="533"/>
      <c r="C114" s="194" t="s">
        <v>215</v>
      </c>
      <c r="D114" s="196">
        <f>'вспомогательная таблица'!D30</f>
        <v>1446737.6</v>
      </c>
      <c r="E114" s="196">
        <f>'вспомогательная таблица'!E30</f>
        <v>1716267.75</v>
      </c>
      <c r="F114" s="196">
        <f>'вспомогательная таблица'!F30</f>
        <v>1716267.75</v>
      </c>
      <c r="G114" s="373">
        <f>'вспомогательная таблица'!H30</f>
        <v>1446737.6</v>
      </c>
      <c r="H114" s="373">
        <f>'вспомогательная таблица'!I30</f>
        <v>2145343.85</v>
      </c>
      <c r="I114" s="373">
        <f>'вспомогательная таблица'!J30</f>
        <v>1362733.8</v>
      </c>
      <c r="J114" s="196">
        <f>'вспомогательная таблица'!L30</f>
        <v>811455.8</v>
      </c>
      <c r="K114" s="196">
        <f>'вспомогательная таблица'!M30</f>
        <v>1152138.8</v>
      </c>
      <c r="L114" s="196">
        <f>'вспомогательная таблица'!N30</f>
        <v>1538650.6</v>
      </c>
      <c r="M114" s="196">
        <f>'вспомогательная таблица'!P30</f>
        <v>3016680.5500000003</v>
      </c>
      <c r="N114" s="196">
        <f>'вспомогательная таблица'!Q30</f>
        <v>2881006.5500000003</v>
      </c>
      <c r="O114" s="196">
        <f>'вспомогательная таблица'!R30</f>
        <v>3078076.03</v>
      </c>
      <c r="P114" s="532">
        <f t="shared" si="4"/>
        <v>22312096.680000003</v>
      </c>
      <c r="Q114" s="532"/>
      <c r="T114" s="159">
        <v>1</v>
      </c>
    </row>
    <row r="115" spans="1:17" ht="77.25" customHeight="1">
      <c r="A115" s="533" t="s">
        <v>217</v>
      </c>
      <c r="B115" s="533"/>
      <c r="C115" s="197" t="s">
        <v>218</v>
      </c>
      <c r="D115" s="195">
        <f>D110+D108+D114+D112</f>
        <v>4249786.46</v>
      </c>
      <c r="E115" s="195">
        <f aca="true" t="shared" si="8" ref="E115:O115">E110+E108+E114+E112</f>
        <v>4387289.3</v>
      </c>
      <c r="F115" s="195">
        <f t="shared" si="8"/>
        <v>4526198.3</v>
      </c>
      <c r="G115" s="195">
        <f t="shared" si="8"/>
        <v>4591199.9</v>
      </c>
      <c r="H115" s="195">
        <f t="shared" si="8"/>
        <v>5956023</v>
      </c>
      <c r="I115" s="195">
        <f t="shared" si="8"/>
        <v>3730002.71</v>
      </c>
      <c r="J115" s="195">
        <f t="shared" si="8"/>
        <v>2971454.29</v>
      </c>
      <c r="K115" s="195">
        <f t="shared" si="8"/>
        <v>3202163</v>
      </c>
      <c r="L115" s="195">
        <f t="shared" si="8"/>
        <v>4448187.5600000005</v>
      </c>
      <c r="M115" s="195">
        <f t="shared" si="8"/>
        <v>4828023.51</v>
      </c>
      <c r="N115" s="195">
        <f t="shared" si="8"/>
        <v>5047839.300000001</v>
      </c>
      <c r="O115" s="195">
        <f t="shared" si="8"/>
        <v>5165880.67</v>
      </c>
      <c r="P115" s="532">
        <f>SUM(D115:O115)</f>
        <v>53104048</v>
      </c>
      <c r="Q115" s="532"/>
    </row>
    <row r="116" ht="15.75" thickBot="1"/>
    <row r="117" spans="1:2" ht="21" customHeight="1">
      <c r="A117" s="191" t="s">
        <v>203</v>
      </c>
      <c r="B117" s="192" t="s">
        <v>204</v>
      </c>
    </row>
    <row r="118" ht="15" hidden="1"/>
    <row r="119" ht="15" hidden="1"/>
    <row r="120" spans="1:18" ht="29.25" customHeight="1">
      <c r="A120" s="525" t="s">
        <v>205</v>
      </c>
      <c r="B120" s="525"/>
      <c r="C120" s="525"/>
      <c r="D120" s="525"/>
      <c r="E120" s="525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</row>
    <row r="123" ht="15">
      <c r="B123" s="159" t="s">
        <v>219</v>
      </c>
    </row>
    <row r="125" spans="1:17" ht="15" customHeight="1">
      <c r="A125" s="505" t="s">
        <v>196</v>
      </c>
      <c r="B125" s="505"/>
      <c r="C125" s="505"/>
      <c r="D125" s="506" t="s">
        <v>213</v>
      </c>
      <c r="E125" s="507"/>
      <c r="F125" s="507"/>
      <c r="G125" s="507"/>
      <c r="H125" s="507"/>
      <c r="I125" s="507"/>
      <c r="J125" s="507"/>
      <c r="K125" s="507"/>
      <c r="L125" s="507"/>
      <c r="M125" s="507"/>
      <c r="N125" s="507"/>
      <c r="O125" s="508"/>
      <c r="P125" s="499" t="s">
        <v>209</v>
      </c>
      <c r="Q125" s="500"/>
    </row>
    <row r="126" spans="1:17" ht="15">
      <c r="A126" s="505"/>
      <c r="B126" s="505"/>
      <c r="C126" s="505"/>
      <c r="D126" s="187">
        <v>1</v>
      </c>
      <c r="E126" s="187">
        <v>2</v>
      </c>
      <c r="F126" s="187">
        <v>3</v>
      </c>
      <c r="G126" s="187">
        <v>4</v>
      </c>
      <c r="H126" s="187">
        <v>5</v>
      </c>
      <c r="I126" s="187">
        <v>6</v>
      </c>
      <c r="J126" s="187">
        <v>7</v>
      </c>
      <c r="K126" s="187">
        <v>8</v>
      </c>
      <c r="L126" s="187">
        <v>9</v>
      </c>
      <c r="M126" s="187">
        <v>10</v>
      </c>
      <c r="N126" s="187">
        <v>11</v>
      </c>
      <c r="O126" s="187">
        <v>12</v>
      </c>
      <c r="P126" s="518"/>
      <c r="Q126" s="519"/>
    </row>
    <row r="127" spans="1:17" ht="94.5" customHeight="1">
      <c r="A127" s="534" t="s">
        <v>220</v>
      </c>
      <c r="B127" s="534"/>
      <c r="C127" s="535"/>
      <c r="D127" s="198">
        <f>D128</f>
        <v>119920</v>
      </c>
      <c r="E127" s="198">
        <f aca="true" t="shared" si="9" ref="E127:O127">E128</f>
        <v>106496</v>
      </c>
      <c r="F127" s="198">
        <f t="shared" si="9"/>
        <v>412990</v>
      </c>
      <c r="G127" s="198">
        <f t="shared" si="9"/>
        <v>539406</v>
      </c>
      <c r="H127" s="198">
        <f t="shared" si="9"/>
        <v>100000</v>
      </c>
      <c r="I127" s="198">
        <f t="shared" si="9"/>
        <v>15948</v>
      </c>
      <c r="J127" s="198">
        <f t="shared" si="9"/>
        <v>532006</v>
      </c>
      <c r="K127" s="198">
        <f t="shared" si="9"/>
        <v>110000</v>
      </c>
      <c r="L127" s="198">
        <f t="shared" si="9"/>
        <v>0</v>
      </c>
      <c r="M127" s="198">
        <f t="shared" si="9"/>
        <v>531678</v>
      </c>
      <c r="N127" s="198">
        <f t="shared" si="9"/>
        <v>107726</v>
      </c>
      <c r="O127" s="198">
        <f t="shared" si="9"/>
        <v>0</v>
      </c>
      <c r="P127" s="522">
        <f>SUM(D127:O127)</f>
        <v>2576170</v>
      </c>
      <c r="Q127" s="523"/>
    </row>
    <row r="128" spans="1:17" ht="39.75" customHeight="1">
      <c r="A128" s="524" t="s">
        <v>216</v>
      </c>
      <c r="B128" s="520"/>
      <c r="C128" s="521"/>
      <c r="D128" s="199">
        <f>'вспомогательная таблица'!D35</f>
        <v>119920</v>
      </c>
      <c r="E128" s="199">
        <f>'вспомогательная таблица'!E35</f>
        <v>106496</v>
      </c>
      <c r="F128" s="199">
        <f>'вспомогательная таблица'!F35</f>
        <v>412990</v>
      </c>
      <c r="G128" s="199">
        <f>'вспомогательная таблица'!H35</f>
        <v>539406</v>
      </c>
      <c r="H128" s="199">
        <f>'вспомогательная таблица'!I35</f>
        <v>100000</v>
      </c>
      <c r="I128" s="199">
        <f>'вспомогательная таблица'!J35</f>
        <v>15948</v>
      </c>
      <c r="J128" s="199">
        <f>'вспомогательная таблица'!L35</f>
        <v>532006</v>
      </c>
      <c r="K128" s="199">
        <f>'вспомогательная таблица'!M35</f>
        <v>110000</v>
      </c>
      <c r="L128" s="199">
        <f>'вспомогательная таблица'!N35</f>
        <v>0</v>
      </c>
      <c r="M128" s="199">
        <f>'вспомогательная таблица'!P35</f>
        <v>531678</v>
      </c>
      <c r="N128" s="199">
        <f>'вспомогательная таблица'!Q35</f>
        <v>107726</v>
      </c>
      <c r="O128" s="199">
        <f>'вспомогательная таблица'!R35</f>
        <v>0</v>
      </c>
      <c r="P128" s="522">
        <f>SUM(D128:O128)</f>
        <v>2576170</v>
      </c>
      <c r="Q128" s="523"/>
    </row>
    <row r="129" ht="15.75" thickBot="1"/>
    <row r="130" spans="1:2" ht="15">
      <c r="A130" s="191" t="s">
        <v>203</v>
      </c>
      <c r="B130" s="192" t="s">
        <v>204</v>
      </c>
    </row>
    <row r="132" spans="1:18" ht="33" customHeight="1">
      <c r="A132" s="525" t="s">
        <v>205</v>
      </c>
      <c r="B132" s="525"/>
      <c r="C132" s="525"/>
      <c r="D132" s="525"/>
      <c r="E132" s="525"/>
      <c r="F132" s="525"/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</row>
    <row r="135" ht="15">
      <c r="B135" s="159" t="s">
        <v>221</v>
      </c>
    </row>
    <row r="137" spans="1:17" ht="15" customHeight="1">
      <c r="A137" s="505" t="s">
        <v>222</v>
      </c>
      <c r="B137" s="505"/>
      <c r="C137" s="505"/>
      <c r="D137" s="506" t="s">
        <v>213</v>
      </c>
      <c r="E137" s="507"/>
      <c r="F137" s="507"/>
      <c r="G137" s="507"/>
      <c r="H137" s="507"/>
      <c r="I137" s="507"/>
      <c r="J137" s="507"/>
      <c r="K137" s="507"/>
      <c r="L137" s="507"/>
      <c r="M137" s="507"/>
      <c r="N137" s="507"/>
      <c r="O137" s="508"/>
      <c r="P137" s="499" t="s">
        <v>209</v>
      </c>
      <c r="Q137" s="500"/>
    </row>
    <row r="138" spans="1:17" ht="15">
      <c r="A138" s="505"/>
      <c r="B138" s="505"/>
      <c r="C138" s="505"/>
      <c r="D138" s="187">
        <v>1</v>
      </c>
      <c r="E138" s="187">
        <v>2</v>
      </c>
      <c r="F138" s="187">
        <v>3</v>
      </c>
      <c r="G138" s="187">
        <v>4</v>
      </c>
      <c r="H138" s="187">
        <v>5</v>
      </c>
      <c r="I138" s="187">
        <v>6</v>
      </c>
      <c r="J138" s="187">
        <v>7</v>
      </c>
      <c r="K138" s="187">
        <v>8</v>
      </c>
      <c r="L138" s="187">
        <v>9</v>
      </c>
      <c r="M138" s="187">
        <v>10</v>
      </c>
      <c r="N138" s="187">
        <v>11</v>
      </c>
      <c r="O138" s="187">
        <v>12</v>
      </c>
      <c r="P138" s="518"/>
      <c r="Q138" s="519"/>
    </row>
    <row r="139" spans="1:17" ht="102" customHeight="1">
      <c r="A139" s="536" t="s">
        <v>220</v>
      </c>
      <c r="B139" s="536"/>
      <c r="C139" s="537"/>
      <c r="D139" s="200">
        <f>SUM(D140:D154)</f>
        <v>100000</v>
      </c>
      <c r="E139" s="200">
        <f aca="true" t="shared" si="10" ref="E139:O139">SUM(E140:E154)</f>
        <v>109994</v>
      </c>
      <c r="F139" s="200">
        <f t="shared" si="10"/>
        <v>80000</v>
      </c>
      <c r="G139" s="200">
        <f t="shared" si="10"/>
        <v>0</v>
      </c>
      <c r="H139" s="200">
        <f t="shared" si="10"/>
        <v>284687.05</v>
      </c>
      <c r="I139" s="200">
        <f t="shared" si="10"/>
        <v>399800</v>
      </c>
      <c r="J139" s="200">
        <f t="shared" si="10"/>
        <v>353995.78</v>
      </c>
      <c r="K139" s="200">
        <f t="shared" si="10"/>
        <v>475328.54</v>
      </c>
      <c r="L139" s="200">
        <f t="shared" si="10"/>
        <v>308557</v>
      </c>
      <c r="M139" s="200">
        <f t="shared" si="10"/>
        <v>1823632.91</v>
      </c>
      <c r="N139" s="200">
        <f t="shared" si="10"/>
        <v>1903182.64</v>
      </c>
      <c r="O139" s="200">
        <f t="shared" si="10"/>
        <v>1445270.88</v>
      </c>
      <c r="P139" s="522">
        <f>SUM(D139:O139)</f>
        <v>7284448.8</v>
      </c>
      <c r="Q139" s="523"/>
    </row>
    <row r="140" spans="1:17" ht="78" customHeight="1">
      <c r="A140" s="538" t="s">
        <v>459</v>
      </c>
      <c r="B140" s="536"/>
      <c r="C140" s="537"/>
      <c r="D140" s="200">
        <v>0</v>
      </c>
      <c r="E140" s="200">
        <v>0</v>
      </c>
      <c r="F140" s="200">
        <v>0</v>
      </c>
      <c r="G140" s="200">
        <v>0</v>
      </c>
      <c r="H140" s="200">
        <v>0</v>
      </c>
      <c r="I140" s="200">
        <v>0</v>
      </c>
      <c r="J140" s="200">
        <v>0</v>
      </c>
      <c r="K140" s="200">
        <v>0</v>
      </c>
      <c r="L140" s="200">
        <v>0</v>
      </c>
      <c r="M140" s="200">
        <v>67184.13</v>
      </c>
      <c r="N140" s="200">
        <v>0</v>
      </c>
      <c r="O140" s="200">
        <v>0</v>
      </c>
      <c r="P140" s="522">
        <f aca="true" t="shared" si="11" ref="P140:P145">SUM(D140:O140)</f>
        <v>67184.13</v>
      </c>
      <c r="Q140" s="523"/>
    </row>
    <row r="141" spans="1:17" ht="58.5" customHeight="1">
      <c r="A141" s="538" t="s">
        <v>424</v>
      </c>
      <c r="B141" s="536"/>
      <c r="C141" s="537"/>
      <c r="D141" s="200"/>
      <c r="E141" s="200">
        <v>0</v>
      </c>
      <c r="F141" s="200">
        <v>0</v>
      </c>
      <c r="G141" s="200">
        <v>0</v>
      </c>
      <c r="H141" s="200">
        <v>0</v>
      </c>
      <c r="I141" s="200">
        <v>0</v>
      </c>
      <c r="J141" s="200">
        <v>0</v>
      </c>
      <c r="K141" s="200">
        <v>0</v>
      </c>
      <c r="L141" s="200">
        <v>0</v>
      </c>
      <c r="M141" s="200">
        <v>818749.88</v>
      </c>
      <c r="N141" s="200">
        <v>818749.88</v>
      </c>
      <c r="O141" s="200">
        <v>818749.88</v>
      </c>
      <c r="P141" s="522">
        <f t="shared" si="11"/>
        <v>2456249.64</v>
      </c>
      <c r="Q141" s="523"/>
    </row>
    <row r="142" spans="1:17" ht="43.5" customHeight="1">
      <c r="A142" s="538" t="s">
        <v>425</v>
      </c>
      <c r="B142" s="536"/>
      <c r="C142" s="537"/>
      <c r="D142" s="200">
        <v>100000</v>
      </c>
      <c r="E142" s="200">
        <v>109994</v>
      </c>
      <c r="F142" s="200">
        <v>80000</v>
      </c>
      <c r="G142" s="200">
        <v>0</v>
      </c>
      <c r="H142" s="200">
        <v>0</v>
      </c>
      <c r="I142" s="200">
        <v>0</v>
      </c>
      <c r="J142" s="200">
        <v>308558</v>
      </c>
      <c r="K142" s="200">
        <v>308558</v>
      </c>
      <c r="L142" s="200">
        <v>308557</v>
      </c>
      <c r="M142" s="200">
        <v>380921</v>
      </c>
      <c r="N142" s="200">
        <v>380921</v>
      </c>
      <c r="O142" s="200">
        <v>380921</v>
      </c>
      <c r="P142" s="522">
        <f t="shared" si="11"/>
        <v>2358430</v>
      </c>
      <c r="Q142" s="523"/>
    </row>
    <row r="143" spans="1:17" ht="50.25" customHeight="1" hidden="1">
      <c r="A143" s="538" t="s">
        <v>386</v>
      </c>
      <c r="B143" s="536"/>
      <c r="C143" s="537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522">
        <f t="shared" si="11"/>
        <v>0</v>
      </c>
      <c r="Q143" s="523"/>
    </row>
    <row r="144" spans="1:17" ht="39.75" customHeight="1" hidden="1">
      <c r="A144" s="538"/>
      <c r="B144" s="536"/>
      <c r="C144" s="537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522">
        <f t="shared" si="11"/>
        <v>0</v>
      </c>
      <c r="Q144" s="523"/>
    </row>
    <row r="145" spans="1:17" ht="36" customHeight="1" hidden="1">
      <c r="A145" s="538"/>
      <c r="B145" s="536"/>
      <c r="C145" s="537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522">
        <f t="shared" si="11"/>
        <v>0</v>
      </c>
      <c r="Q145" s="523"/>
    </row>
    <row r="146" spans="1:17" ht="49.5" customHeight="1" hidden="1">
      <c r="A146" s="538"/>
      <c r="B146" s="536"/>
      <c r="C146" s="537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522">
        <f aca="true" t="shared" si="12" ref="P146:P153">SUM(D146:O146)</f>
        <v>0</v>
      </c>
      <c r="Q146" s="523"/>
    </row>
    <row r="147" spans="1:17" ht="101.25" customHeight="1" hidden="1">
      <c r="A147" s="538"/>
      <c r="B147" s="536"/>
      <c r="C147" s="537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522">
        <f t="shared" si="12"/>
        <v>0</v>
      </c>
      <c r="Q147" s="523"/>
    </row>
    <row r="148" spans="1:17" ht="46.5" customHeight="1">
      <c r="A148" s="538" t="s">
        <v>426</v>
      </c>
      <c r="B148" s="536"/>
      <c r="C148" s="537"/>
      <c r="D148" s="200"/>
      <c r="E148" s="200"/>
      <c r="F148" s="200"/>
      <c r="G148" s="198"/>
      <c r="H148" s="198"/>
      <c r="I148" s="198"/>
      <c r="J148" s="198"/>
      <c r="K148" s="198"/>
      <c r="L148" s="198"/>
      <c r="M148" s="198"/>
      <c r="N148" s="198">
        <v>703511.76</v>
      </c>
      <c r="O148" s="198"/>
      <c r="P148" s="539">
        <f t="shared" si="12"/>
        <v>703511.76</v>
      </c>
      <c r="Q148" s="540"/>
    </row>
    <row r="149" spans="1:17" ht="48" customHeight="1">
      <c r="A149" s="563" t="s">
        <v>456</v>
      </c>
      <c r="B149" s="534"/>
      <c r="C149" s="535"/>
      <c r="D149" s="471"/>
      <c r="E149" s="188"/>
      <c r="F149" s="188"/>
      <c r="G149" s="188"/>
      <c r="H149" s="188"/>
      <c r="I149" s="188"/>
      <c r="J149" s="188"/>
      <c r="K149" s="188"/>
      <c r="L149" s="188"/>
      <c r="M149" s="188"/>
      <c r="N149" s="429"/>
      <c r="O149" s="198">
        <v>245600</v>
      </c>
      <c r="P149" s="543">
        <f>O149</f>
        <v>245600</v>
      </c>
      <c r="Q149" s="544"/>
    </row>
    <row r="150" spans="1:17" ht="72" customHeight="1">
      <c r="A150" s="563" t="s">
        <v>457</v>
      </c>
      <c r="B150" s="534"/>
      <c r="C150" s="535"/>
      <c r="D150" s="188"/>
      <c r="E150" s="188"/>
      <c r="F150" s="188"/>
      <c r="G150" s="200"/>
      <c r="H150" s="200">
        <v>61308.79</v>
      </c>
      <c r="I150" s="188"/>
      <c r="J150" s="200">
        <v>11750.78</v>
      </c>
      <c r="K150" s="200">
        <v>770.54</v>
      </c>
      <c r="L150" s="188"/>
      <c r="M150" s="200">
        <v>170464.9</v>
      </c>
      <c r="N150" s="188"/>
      <c r="O150" s="200"/>
      <c r="P150" s="522">
        <f>G150+H150+I150+J150+K150+L150+M150</f>
        <v>244295.01</v>
      </c>
      <c r="Q150" s="523"/>
    </row>
    <row r="151" spans="1:17" ht="41.25" customHeight="1">
      <c r="A151" s="563" t="s">
        <v>435</v>
      </c>
      <c r="B151" s="534"/>
      <c r="C151" s="535"/>
      <c r="D151" s="188"/>
      <c r="E151" s="188"/>
      <c r="F151" s="188"/>
      <c r="G151" s="200"/>
      <c r="H151" s="200"/>
      <c r="I151" s="200">
        <v>399800</v>
      </c>
      <c r="J151" s="200"/>
      <c r="K151" s="200"/>
      <c r="L151" s="200"/>
      <c r="M151" s="200"/>
      <c r="N151" s="188"/>
      <c r="O151" s="188"/>
      <c r="P151" s="539">
        <f t="shared" si="12"/>
        <v>399800</v>
      </c>
      <c r="Q151" s="540"/>
    </row>
    <row r="152" spans="1:17" ht="123.75" customHeight="1">
      <c r="A152" s="563" t="s">
        <v>433</v>
      </c>
      <c r="B152" s="534"/>
      <c r="C152" s="535"/>
      <c r="D152" s="188"/>
      <c r="E152" s="188"/>
      <c r="F152" s="188"/>
      <c r="G152" s="200"/>
      <c r="H152" s="200">
        <v>223378.26</v>
      </c>
      <c r="I152" s="200"/>
      <c r="J152" s="200"/>
      <c r="K152" s="200"/>
      <c r="L152" s="200"/>
      <c r="M152" s="200"/>
      <c r="N152" s="188"/>
      <c r="O152" s="188"/>
      <c r="P152" s="539">
        <f>H152+I152+J152+K152+L152+M152+N152+O152</f>
        <v>223378.26</v>
      </c>
      <c r="Q152" s="540"/>
    </row>
    <row r="153" spans="1:17" ht="144.75" customHeight="1">
      <c r="A153" s="524" t="s">
        <v>434</v>
      </c>
      <c r="B153" s="520"/>
      <c r="C153" s="521"/>
      <c r="D153" s="188"/>
      <c r="E153" s="188"/>
      <c r="F153" s="188"/>
      <c r="G153" s="472"/>
      <c r="H153" s="188"/>
      <c r="I153" s="188"/>
      <c r="J153" s="188"/>
      <c r="K153" s="200">
        <v>166000</v>
      </c>
      <c r="L153" s="188"/>
      <c r="M153" s="188"/>
      <c r="N153" s="188"/>
      <c r="O153" s="188"/>
      <c r="P153" s="539">
        <f t="shared" si="12"/>
        <v>166000</v>
      </c>
      <c r="Q153" s="540"/>
    </row>
    <row r="154" spans="1:17" ht="50.25" customHeight="1">
      <c r="A154" s="493" t="s">
        <v>460</v>
      </c>
      <c r="B154" s="493"/>
      <c r="C154" s="493"/>
      <c r="D154" s="188"/>
      <c r="E154" s="188"/>
      <c r="F154" s="188"/>
      <c r="G154" s="472"/>
      <c r="H154" s="188"/>
      <c r="I154" s="188"/>
      <c r="J154" s="200">
        <v>33687</v>
      </c>
      <c r="K154" s="200"/>
      <c r="L154" s="188"/>
      <c r="M154" s="200">
        <v>386313</v>
      </c>
      <c r="N154" s="188"/>
      <c r="O154" s="188"/>
      <c r="P154" s="494">
        <f>K154+L154+M154+N154+O154</f>
        <v>386313</v>
      </c>
      <c r="Q154" s="494"/>
    </row>
    <row r="155" ht="15.75" thickBot="1"/>
    <row r="156" spans="1:2" ht="15">
      <c r="A156" s="191" t="s">
        <v>203</v>
      </c>
      <c r="B156" s="192" t="s">
        <v>204</v>
      </c>
    </row>
    <row r="157" ht="15" hidden="1"/>
    <row r="158" spans="1:18" ht="29.25" customHeight="1" hidden="1">
      <c r="A158" s="525"/>
      <c r="B158" s="525"/>
      <c r="C158" s="525"/>
      <c r="D158" s="525"/>
      <c r="E158" s="525"/>
      <c r="F158" s="525"/>
      <c r="G158" s="525"/>
      <c r="H158" s="525"/>
      <c r="I158" s="525"/>
      <c r="J158" s="525"/>
      <c r="K158" s="525"/>
      <c r="L158" s="525"/>
      <c r="M158" s="525"/>
      <c r="N158" s="525"/>
      <c r="O158" s="525"/>
      <c r="P158" s="525"/>
      <c r="Q158" s="525"/>
      <c r="R158" s="525"/>
    </row>
    <row r="159" ht="15" hidden="1"/>
    <row r="160" ht="15" hidden="1"/>
    <row r="161" ht="15" hidden="1"/>
    <row r="162" ht="15" hidden="1"/>
    <row r="163" spans="1:18" ht="15" customHeight="1">
      <c r="A163" s="525" t="s">
        <v>205</v>
      </c>
      <c r="B163" s="525"/>
      <c r="C163" s="525"/>
      <c r="D163" s="525"/>
      <c r="E163" s="525"/>
      <c r="F163" s="525"/>
      <c r="G163" s="525"/>
      <c r="H163" s="525"/>
      <c r="I163" s="525"/>
      <c r="J163" s="525"/>
      <c r="K163" s="525"/>
      <c r="L163" s="525"/>
      <c r="M163" s="525"/>
      <c r="N163" s="525"/>
      <c r="O163" s="525"/>
      <c r="P163" s="525"/>
      <c r="Q163" s="525"/>
      <c r="R163" s="525"/>
    </row>
    <row r="164" spans="1:18" ht="15">
      <c r="A164" s="525"/>
      <c r="B164" s="525"/>
      <c r="C164" s="525"/>
      <c r="D164" s="525"/>
      <c r="E164" s="525"/>
      <c r="F164" s="525"/>
      <c r="G164" s="525"/>
      <c r="H164" s="525"/>
      <c r="I164" s="525"/>
      <c r="J164" s="525"/>
      <c r="K164" s="525"/>
      <c r="L164" s="525"/>
      <c r="M164" s="525"/>
      <c r="N164" s="525"/>
      <c r="O164" s="525"/>
      <c r="P164" s="525"/>
      <c r="Q164" s="525"/>
      <c r="R164" s="525"/>
    </row>
    <row r="165" ht="15" hidden="1"/>
    <row r="166" ht="15" hidden="1"/>
    <row r="167" ht="15">
      <c r="B167" s="159" t="s">
        <v>229</v>
      </c>
    </row>
    <row r="168" ht="15">
      <c r="B168" s="159" t="s">
        <v>230</v>
      </c>
    </row>
    <row r="170" spans="1:18" ht="42.75" customHeight="1">
      <c r="A170" s="201" t="s">
        <v>231</v>
      </c>
      <c r="B170" s="505" t="s">
        <v>232</v>
      </c>
      <c r="C170" s="505"/>
      <c r="D170" s="506" t="s">
        <v>233</v>
      </c>
      <c r="E170" s="507"/>
      <c r="F170" s="505" t="s">
        <v>234</v>
      </c>
      <c r="G170" s="505"/>
      <c r="H170" s="505"/>
      <c r="I170" s="505"/>
      <c r="J170" s="505"/>
      <c r="K170" s="505"/>
      <c r="L170" s="505"/>
      <c r="M170" s="505"/>
      <c r="N170" s="507" t="s">
        <v>235</v>
      </c>
      <c r="O170" s="507"/>
      <c r="P170" s="507"/>
      <c r="Q170" s="507"/>
      <c r="R170" s="508"/>
    </row>
    <row r="171" spans="1:18" ht="27.75" customHeight="1">
      <c r="A171" s="547" t="s">
        <v>236</v>
      </c>
      <c r="B171" s="548"/>
      <c r="C171" s="548"/>
      <c r="D171" s="548"/>
      <c r="E171" s="549"/>
      <c r="F171" s="541" t="s">
        <v>237</v>
      </c>
      <c r="G171" s="542"/>
      <c r="H171" s="541" t="s">
        <v>238</v>
      </c>
      <c r="I171" s="542"/>
      <c r="J171" s="541" t="s">
        <v>239</v>
      </c>
      <c r="K171" s="542"/>
      <c r="L171" s="541" t="s">
        <v>240</v>
      </c>
      <c r="M171" s="542"/>
      <c r="N171" s="541" t="s">
        <v>237</v>
      </c>
      <c r="O171" s="542"/>
      <c r="P171" s="202" t="s">
        <v>238</v>
      </c>
      <c r="Q171" s="202" t="s">
        <v>239</v>
      </c>
      <c r="R171" s="187" t="s">
        <v>240</v>
      </c>
    </row>
    <row r="172" spans="1:18" ht="58.5" customHeight="1">
      <c r="A172" s="203">
        <v>1</v>
      </c>
      <c r="B172" s="555" t="s">
        <v>241</v>
      </c>
      <c r="C172" s="556"/>
      <c r="D172" s="505"/>
      <c r="E172" s="505"/>
      <c r="F172" s="545" t="s">
        <v>242</v>
      </c>
      <c r="G172" s="546"/>
      <c r="H172" s="545" t="s">
        <v>242</v>
      </c>
      <c r="I172" s="546"/>
      <c r="J172" s="545" t="s">
        <v>242</v>
      </c>
      <c r="K172" s="546"/>
      <c r="L172" s="545" t="s">
        <v>242</v>
      </c>
      <c r="M172" s="546"/>
      <c r="N172" s="507"/>
      <c r="O172" s="508"/>
      <c r="P172" s="202"/>
      <c r="Q172" s="202"/>
      <c r="R172" s="187"/>
    </row>
    <row r="173" spans="1:18" ht="30" customHeight="1">
      <c r="A173" s="204">
        <v>2</v>
      </c>
      <c r="B173" s="550" t="s">
        <v>243</v>
      </c>
      <c r="C173" s="550"/>
      <c r="D173" s="551"/>
      <c r="E173" s="552"/>
      <c r="F173" s="553" t="s">
        <v>244</v>
      </c>
      <c r="G173" s="554"/>
      <c r="H173" s="553" t="s">
        <v>244</v>
      </c>
      <c r="I173" s="554"/>
      <c r="J173" s="553" t="s">
        <v>244</v>
      </c>
      <c r="K173" s="554"/>
      <c r="L173" s="553" t="s">
        <v>244</v>
      </c>
      <c r="M173" s="554"/>
      <c r="N173" s="493"/>
      <c r="O173" s="493"/>
      <c r="P173" s="204"/>
      <c r="Q173" s="204"/>
      <c r="R173" s="205"/>
    </row>
    <row r="174" spans="1:18" ht="49.5" customHeight="1">
      <c r="A174" s="204">
        <v>3</v>
      </c>
      <c r="B174" s="550" t="s">
        <v>245</v>
      </c>
      <c r="C174" s="550"/>
      <c r="D174" s="522"/>
      <c r="E174" s="523"/>
      <c r="F174" s="557" t="s">
        <v>246</v>
      </c>
      <c r="G174" s="558"/>
      <c r="H174" s="557" t="s">
        <v>246</v>
      </c>
      <c r="I174" s="558"/>
      <c r="J174" s="557" t="s">
        <v>246</v>
      </c>
      <c r="K174" s="558"/>
      <c r="L174" s="557" t="s">
        <v>246</v>
      </c>
      <c r="M174" s="558"/>
      <c r="N174" s="559"/>
      <c r="O174" s="559"/>
      <c r="P174" s="190"/>
      <c r="Q174" s="190"/>
      <c r="R174" s="206"/>
    </row>
    <row r="175" spans="1:18" ht="96" customHeight="1">
      <c r="A175" s="206">
        <v>4</v>
      </c>
      <c r="B175" s="563" t="s">
        <v>247</v>
      </c>
      <c r="C175" s="535"/>
      <c r="D175" s="560"/>
      <c r="E175" s="561"/>
      <c r="F175" s="553" t="s">
        <v>248</v>
      </c>
      <c r="G175" s="554"/>
      <c r="H175" s="553" t="s">
        <v>248</v>
      </c>
      <c r="I175" s="554"/>
      <c r="J175" s="553" t="s">
        <v>248</v>
      </c>
      <c r="K175" s="554"/>
      <c r="L175" s="553" t="s">
        <v>248</v>
      </c>
      <c r="M175" s="554"/>
      <c r="N175" s="560"/>
      <c r="O175" s="561"/>
      <c r="P175" s="206"/>
      <c r="Q175" s="206"/>
      <c r="R175" s="206"/>
    </row>
    <row r="178" spans="1:18" ht="30.75" customHeight="1">
      <c r="A178" s="525" t="s">
        <v>205</v>
      </c>
      <c r="B178" s="525"/>
      <c r="C178" s="525"/>
      <c r="D178" s="525"/>
      <c r="E178" s="525"/>
      <c r="F178" s="525"/>
      <c r="G178" s="525"/>
      <c r="H178" s="525"/>
      <c r="I178" s="525"/>
      <c r="J178" s="525"/>
      <c r="K178" s="525"/>
      <c r="L178" s="525"/>
      <c r="M178" s="525"/>
      <c r="N178" s="525"/>
      <c r="O178" s="525"/>
      <c r="P178" s="525"/>
      <c r="Q178" s="525"/>
      <c r="R178" s="525"/>
    </row>
    <row r="181" ht="15">
      <c r="B181" s="159" t="s">
        <v>249</v>
      </c>
    </row>
    <row r="183" spans="1:18" ht="26.25" customHeight="1">
      <c r="A183" s="201" t="s">
        <v>231</v>
      </c>
      <c r="B183" s="506" t="s">
        <v>232</v>
      </c>
      <c r="C183" s="507"/>
      <c r="D183" s="508"/>
      <c r="E183" s="506" t="s">
        <v>233</v>
      </c>
      <c r="F183" s="507"/>
      <c r="G183" s="507"/>
      <c r="H183" s="508"/>
      <c r="I183" s="562" t="s">
        <v>234</v>
      </c>
      <c r="J183" s="562"/>
      <c r="K183" s="562"/>
      <c r="L183" s="562"/>
      <c r="M183" s="562"/>
      <c r="N183" s="562" t="s">
        <v>235</v>
      </c>
      <c r="O183" s="562"/>
      <c r="P183" s="562"/>
      <c r="Q183" s="562"/>
      <c r="R183" s="207"/>
    </row>
    <row r="184" spans="1:17" ht="27" customHeight="1">
      <c r="A184" s="206">
        <v>1</v>
      </c>
      <c r="B184" s="563" t="s">
        <v>250</v>
      </c>
      <c r="C184" s="534"/>
      <c r="D184" s="535"/>
      <c r="E184" s="560"/>
      <c r="F184" s="564"/>
      <c r="G184" s="564"/>
      <c r="H184" s="561"/>
      <c r="I184" s="560" t="s">
        <v>251</v>
      </c>
      <c r="J184" s="564"/>
      <c r="K184" s="564"/>
      <c r="L184" s="564"/>
      <c r="M184" s="561"/>
      <c r="N184" s="560">
        <v>95</v>
      </c>
      <c r="O184" s="564"/>
      <c r="P184" s="564"/>
      <c r="Q184" s="561"/>
    </row>
    <row r="185" spans="1:17" ht="39.75" customHeight="1">
      <c r="A185" s="206">
        <v>2</v>
      </c>
      <c r="B185" s="563" t="s">
        <v>252</v>
      </c>
      <c r="C185" s="534"/>
      <c r="D185" s="535"/>
      <c r="E185" s="560"/>
      <c r="F185" s="564"/>
      <c r="G185" s="564"/>
      <c r="H185" s="561"/>
      <c r="I185" s="560" t="s">
        <v>253</v>
      </c>
      <c r="J185" s="564"/>
      <c r="K185" s="564"/>
      <c r="L185" s="564"/>
      <c r="M185" s="561"/>
      <c r="N185" s="560">
        <v>2</v>
      </c>
      <c r="O185" s="564"/>
      <c r="P185" s="564"/>
      <c r="Q185" s="561"/>
    </row>
    <row r="186" spans="1:17" ht="36" customHeight="1">
      <c r="A186" s="206">
        <v>3</v>
      </c>
      <c r="B186" s="563" t="s">
        <v>254</v>
      </c>
      <c r="C186" s="534"/>
      <c r="D186" s="535"/>
      <c r="E186" s="560"/>
      <c r="F186" s="564"/>
      <c r="G186" s="564"/>
      <c r="H186" s="561"/>
      <c r="I186" s="560" t="s">
        <v>255</v>
      </c>
      <c r="J186" s="564"/>
      <c r="K186" s="564"/>
      <c r="L186" s="564"/>
      <c r="M186" s="561"/>
      <c r="N186" s="560">
        <v>14.5</v>
      </c>
      <c r="O186" s="564"/>
      <c r="P186" s="564"/>
      <c r="Q186" s="561"/>
    </row>
    <row r="187" spans="1:17" ht="34.5" customHeight="1">
      <c r="A187" s="206">
        <v>4</v>
      </c>
      <c r="B187" s="563" t="s">
        <v>256</v>
      </c>
      <c r="C187" s="534"/>
      <c r="D187" s="535"/>
      <c r="E187" s="560"/>
      <c r="F187" s="564"/>
      <c r="G187" s="564"/>
      <c r="H187" s="561"/>
      <c r="I187" s="560" t="s">
        <v>251</v>
      </c>
      <c r="J187" s="564"/>
      <c r="K187" s="564"/>
      <c r="L187" s="564"/>
      <c r="M187" s="561"/>
      <c r="N187" s="560">
        <v>96</v>
      </c>
      <c r="O187" s="564"/>
      <c r="P187" s="564"/>
      <c r="Q187" s="561"/>
    </row>
    <row r="188" ht="15.75" thickBot="1"/>
    <row r="189" spans="1:2" ht="15">
      <c r="A189" s="191" t="s">
        <v>257</v>
      </c>
      <c r="B189" s="192" t="s">
        <v>258</v>
      </c>
    </row>
    <row r="191" spans="1:18" ht="30.75" customHeight="1">
      <c r="A191" s="525" t="s">
        <v>205</v>
      </c>
      <c r="B191" s="525"/>
      <c r="C191" s="525"/>
      <c r="D191" s="525"/>
      <c r="E191" s="525"/>
      <c r="F191" s="525"/>
      <c r="G191" s="525"/>
      <c r="H191" s="525"/>
      <c r="I191" s="525"/>
      <c r="J191" s="525"/>
      <c r="K191" s="525"/>
      <c r="L191" s="525"/>
      <c r="M191" s="525"/>
      <c r="N191" s="525"/>
      <c r="O191" s="525"/>
      <c r="P191" s="525"/>
      <c r="Q191" s="525"/>
      <c r="R191" s="525"/>
    </row>
    <row r="194" ht="15">
      <c r="B194" s="159" t="s">
        <v>259</v>
      </c>
    </row>
    <row r="196" spans="1:17" ht="30" customHeight="1">
      <c r="A196" s="202" t="s">
        <v>231</v>
      </c>
      <c r="B196" s="565" t="s">
        <v>260</v>
      </c>
      <c r="C196" s="566"/>
      <c r="D196" s="567"/>
      <c r="E196" s="568" t="s">
        <v>261</v>
      </c>
      <c r="F196" s="569"/>
      <c r="G196" s="569"/>
      <c r="H196" s="570"/>
      <c r="I196" s="571" t="s">
        <v>328</v>
      </c>
      <c r="J196" s="571"/>
      <c r="K196" s="571"/>
      <c r="L196" s="571"/>
      <c r="M196" s="571"/>
      <c r="N196" s="571" t="s">
        <v>262</v>
      </c>
      <c r="O196" s="571"/>
      <c r="P196" s="571"/>
      <c r="Q196" s="571"/>
    </row>
    <row r="197" spans="1:17" ht="70.5" customHeight="1">
      <c r="A197" s="206">
        <v>1</v>
      </c>
      <c r="B197" s="563" t="s">
        <v>263</v>
      </c>
      <c r="C197" s="534"/>
      <c r="D197" s="535"/>
      <c r="E197" s="560">
        <v>2015</v>
      </c>
      <c r="F197" s="564"/>
      <c r="G197" s="564"/>
      <c r="H197" s="561"/>
      <c r="I197" s="572">
        <f>P94+P139</f>
        <v>62964666.8</v>
      </c>
      <c r="J197" s="573"/>
      <c r="K197" s="573"/>
      <c r="L197" s="573"/>
      <c r="M197" s="574"/>
      <c r="N197" s="560">
        <f>P73</f>
        <v>916</v>
      </c>
      <c r="O197" s="564"/>
      <c r="P197" s="564"/>
      <c r="Q197" s="561"/>
    </row>
    <row r="198" spans="1:17" ht="15" customHeight="1" hidden="1">
      <c r="A198" s="206"/>
      <c r="B198" s="560"/>
      <c r="C198" s="564"/>
      <c r="D198" s="561"/>
      <c r="E198" s="560"/>
      <c r="F198" s="564"/>
      <c r="G198" s="564"/>
      <c r="H198" s="561"/>
      <c r="I198" s="560"/>
      <c r="J198" s="564"/>
      <c r="K198" s="564"/>
      <c r="L198" s="564"/>
      <c r="M198" s="561"/>
      <c r="N198" s="560"/>
      <c r="O198" s="564"/>
      <c r="P198" s="564"/>
      <c r="Q198" s="561"/>
    </row>
    <row r="199" spans="1:17" ht="15" customHeight="1" hidden="1">
      <c r="A199" s="206"/>
      <c r="B199" s="560"/>
      <c r="C199" s="564"/>
      <c r="D199" s="561"/>
      <c r="E199" s="560"/>
      <c r="F199" s="564"/>
      <c r="G199" s="564"/>
      <c r="H199" s="561"/>
      <c r="I199" s="560"/>
      <c r="J199" s="564"/>
      <c r="K199" s="564"/>
      <c r="L199" s="564"/>
      <c r="M199" s="561"/>
      <c r="N199" s="560"/>
      <c r="O199" s="564"/>
      <c r="P199" s="564"/>
      <c r="Q199" s="561"/>
    </row>
    <row r="200" ht="15.75" thickBot="1"/>
    <row r="201" spans="1:18" ht="15" customHeight="1">
      <c r="A201" s="208" t="s">
        <v>264</v>
      </c>
      <c r="B201" s="209" t="s">
        <v>265</v>
      </c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</row>
    <row r="202" ht="13.5" customHeight="1">
      <c r="A202" s="159" t="s">
        <v>266</v>
      </c>
    </row>
    <row r="203" ht="14.25" customHeight="1">
      <c r="A203" s="159" t="s">
        <v>267</v>
      </c>
    </row>
    <row r="206" ht="15">
      <c r="B206" s="159" t="s">
        <v>268</v>
      </c>
    </row>
    <row r="208" spans="1:18" ht="61.5" customHeight="1">
      <c r="A208" s="582" t="s">
        <v>269</v>
      </c>
      <c r="B208" s="583"/>
      <c r="C208" s="583"/>
      <c r="D208" s="583"/>
      <c r="E208" s="583"/>
      <c r="F208" s="583"/>
      <c r="G208" s="583"/>
      <c r="H208" s="583"/>
      <c r="I208" s="583"/>
      <c r="J208" s="583"/>
      <c r="K208" s="583"/>
      <c r="L208" s="583"/>
      <c r="M208" s="583"/>
      <c r="N208" s="583"/>
      <c r="O208" s="583"/>
      <c r="P208" s="583"/>
      <c r="Q208" s="584"/>
      <c r="R208" s="211"/>
    </row>
    <row r="209" ht="8.25" customHeight="1"/>
    <row r="210" ht="6.75" customHeight="1"/>
    <row r="211" ht="15">
      <c r="B211" s="159" t="s">
        <v>270</v>
      </c>
    </row>
    <row r="213" spans="1:17" ht="15">
      <c r="A213" s="585">
        <f>P94/P73</f>
        <v>60786.26419213974</v>
      </c>
      <c r="B213" s="586"/>
      <c r="C213" s="586"/>
      <c r="D213" s="586"/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86"/>
      <c r="P213" s="586"/>
      <c r="Q213" s="587"/>
    </row>
    <row r="216" ht="15">
      <c r="B216" s="159" t="s">
        <v>271</v>
      </c>
    </row>
    <row r="218" spans="1:17" ht="30.75" customHeight="1">
      <c r="A218" s="582" t="s">
        <v>272</v>
      </c>
      <c r="B218" s="583"/>
      <c r="C218" s="583"/>
      <c r="D218" s="583"/>
      <c r="E218" s="583"/>
      <c r="F218" s="583"/>
      <c r="G218" s="583"/>
      <c r="H218" s="583"/>
      <c r="I218" s="583"/>
      <c r="J218" s="583"/>
      <c r="K218" s="583"/>
      <c r="L218" s="583"/>
      <c r="M218" s="583"/>
      <c r="N218" s="583"/>
      <c r="O218" s="583"/>
      <c r="P218" s="583"/>
      <c r="Q218" s="584"/>
    </row>
    <row r="221" ht="15">
      <c r="B221" s="159" t="s">
        <v>273</v>
      </c>
    </row>
    <row r="222" ht="9" customHeight="1"/>
    <row r="223" spans="1:17" ht="86.25" customHeight="1">
      <c r="A223" s="563" t="s">
        <v>274</v>
      </c>
      <c r="B223" s="534"/>
      <c r="C223" s="534"/>
      <c r="D223" s="534"/>
      <c r="E223" s="534"/>
      <c r="F223" s="534"/>
      <c r="G223" s="534"/>
      <c r="H223" s="534"/>
      <c r="I223" s="534"/>
      <c r="J223" s="534"/>
      <c r="K223" s="534"/>
      <c r="L223" s="534"/>
      <c r="M223" s="534"/>
      <c r="N223" s="534"/>
      <c r="O223" s="534"/>
      <c r="P223" s="534"/>
      <c r="Q223" s="535"/>
    </row>
    <row r="224" spans="1:17" ht="9" customHeight="1">
      <c r="A224" s="212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1:17" ht="15">
      <c r="A225" s="212"/>
      <c r="B225" s="212" t="s">
        <v>275</v>
      </c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1:17" ht="9" customHeight="1">
      <c r="A226" s="212"/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1:17" ht="35.25" customHeight="1">
      <c r="A227" s="588" t="s">
        <v>276</v>
      </c>
      <c r="B227" s="589"/>
      <c r="C227" s="589"/>
      <c r="D227" s="589"/>
      <c r="E227" s="589"/>
      <c r="F227" s="589"/>
      <c r="G227" s="589"/>
      <c r="H227" s="589"/>
      <c r="I227" s="589"/>
      <c r="J227" s="589"/>
      <c r="K227" s="589"/>
      <c r="L227" s="589"/>
      <c r="M227" s="589"/>
      <c r="N227" s="589"/>
      <c r="O227" s="589"/>
      <c r="P227" s="589"/>
      <c r="Q227" s="590"/>
    </row>
    <row r="228" spans="1:17" ht="15">
      <c r="A228" s="213" t="s">
        <v>277</v>
      </c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5"/>
    </row>
    <row r="229" spans="1:17" ht="24.75" customHeight="1">
      <c r="A229" s="575" t="s">
        <v>278</v>
      </c>
      <c r="B229" s="576"/>
      <c r="C229" s="576"/>
      <c r="D229" s="576"/>
      <c r="E229" s="576"/>
      <c r="F229" s="576"/>
      <c r="G229" s="576"/>
      <c r="H229" s="576"/>
      <c r="I229" s="576"/>
      <c r="J229" s="576"/>
      <c r="K229" s="576"/>
      <c r="L229" s="576"/>
      <c r="M229" s="576"/>
      <c r="N229" s="576"/>
      <c r="O229" s="576"/>
      <c r="P229" s="576"/>
      <c r="Q229" s="577"/>
    </row>
    <row r="230" spans="1:17" ht="15">
      <c r="A230" s="578" t="s">
        <v>279</v>
      </c>
      <c r="B230" s="579"/>
      <c r="C230" s="579"/>
      <c r="D230" s="579"/>
      <c r="E230" s="579"/>
      <c r="F230" s="579"/>
      <c r="G230" s="579"/>
      <c r="H230" s="579"/>
      <c r="I230" s="579"/>
      <c r="J230" s="579"/>
      <c r="K230" s="579"/>
      <c r="L230" s="579"/>
      <c r="M230" s="579"/>
      <c r="N230" s="579"/>
      <c r="O230" s="579"/>
      <c r="P230" s="579"/>
      <c r="Q230" s="580"/>
    </row>
    <row r="231" spans="1:17" ht="15">
      <c r="A231" s="216" t="s">
        <v>280</v>
      </c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8"/>
    </row>
    <row r="232" spans="1:17" ht="15">
      <c r="A232" s="219" t="s">
        <v>281</v>
      </c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1"/>
    </row>
    <row r="234" spans="2:14" ht="15">
      <c r="B234" s="497" t="s">
        <v>282</v>
      </c>
      <c r="C234" s="497"/>
      <c r="D234" s="497"/>
      <c r="E234" s="497"/>
      <c r="I234" s="220" t="s">
        <v>380</v>
      </c>
      <c r="J234" s="220"/>
      <c r="K234" s="581"/>
      <c r="L234" s="581"/>
      <c r="M234" s="581"/>
      <c r="N234" s="159" t="s">
        <v>283</v>
      </c>
    </row>
    <row r="236" spans="2:8" ht="15">
      <c r="B236" s="159" t="s">
        <v>284</v>
      </c>
      <c r="C236" s="220"/>
      <c r="E236" s="222" t="s">
        <v>285</v>
      </c>
      <c r="F236" s="220"/>
      <c r="G236" s="220"/>
      <c r="H236" s="220"/>
    </row>
    <row r="239" spans="2:14" ht="15">
      <c r="B239" s="497" t="s">
        <v>388</v>
      </c>
      <c r="C239" s="497"/>
      <c r="D239" s="497"/>
      <c r="E239" s="497"/>
      <c r="I239" s="220" t="s">
        <v>389</v>
      </c>
      <c r="J239" s="220"/>
      <c r="K239" s="401"/>
      <c r="L239" s="401"/>
      <c r="M239" s="401"/>
      <c r="N239" s="159" t="s">
        <v>283</v>
      </c>
    </row>
    <row r="241" spans="2:8" ht="15">
      <c r="B241" s="159" t="s">
        <v>284</v>
      </c>
      <c r="C241" s="357"/>
      <c r="E241" s="222" t="s">
        <v>285</v>
      </c>
      <c r="F241" s="220"/>
      <c r="G241" s="220"/>
      <c r="H241" s="220"/>
    </row>
  </sheetData>
  <sheetProtection/>
  <mergeCells count="251">
    <mergeCell ref="A152:C152"/>
    <mergeCell ref="P152:Q152"/>
    <mergeCell ref="P108:Q108"/>
    <mergeCell ref="A109:B110"/>
    <mergeCell ref="P109:Q109"/>
    <mergeCell ref="P110:Q110"/>
    <mergeCell ref="A149:C149"/>
    <mergeCell ref="A150:C150"/>
    <mergeCell ref="A151:C151"/>
    <mergeCell ref="P151:Q151"/>
    <mergeCell ref="B239:E239"/>
    <mergeCell ref="A208:Q208"/>
    <mergeCell ref="A213:Q213"/>
    <mergeCell ref="A218:Q218"/>
    <mergeCell ref="A223:Q223"/>
    <mergeCell ref="A227:Q227"/>
    <mergeCell ref="E199:H199"/>
    <mergeCell ref="I199:M199"/>
    <mergeCell ref="N199:Q199"/>
    <mergeCell ref="A230:Q230"/>
    <mergeCell ref="B234:E234"/>
    <mergeCell ref="K234:M234"/>
    <mergeCell ref="B197:D197"/>
    <mergeCell ref="E197:H197"/>
    <mergeCell ref="I197:M197"/>
    <mergeCell ref="N197:Q197"/>
    <mergeCell ref="A229:Q229"/>
    <mergeCell ref="B198:D198"/>
    <mergeCell ref="E198:H198"/>
    <mergeCell ref="I198:M198"/>
    <mergeCell ref="N198:Q198"/>
    <mergeCell ref="B199:D199"/>
    <mergeCell ref="B187:D187"/>
    <mergeCell ref="E187:H187"/>
    <mergeCell ref="I187:M187"/>
    <mergeCell ref="N187:Q187"/>
    <mergeCell ref="A191:R191"/>
    <mergeCell ref="B196:D196"/>
    <mergeCell ref="E196:H196"/>
    <mergeCell ref="I196:M196"/>
    <mergeCell ref="N196:Q196"/>
    <mergeCell ref="N184:Q184"/>
    <mergeCell ref="B185:D185"/>
    <mergeCell ref="E185:H185"/>
    <mergeCell ref="I185:M185"/>
    <mergeCell ref="N185:Q185"/>
    <mergeCell ref="B186:D186"/>
    <mergeCell ref="E186:H186"/>
    <mergeCell ref="I186:M186"/>
    <mergeCell ref="N186:Q186"/>
    <mergeCell ref="D175:E175"/>
    <mergeCell ref="F175:G175"/>
    <mergeCell ref="H175:I175"/>
    <mergeCell ref="B184:D184"/>
    <mergeCell ref="E184:H184"/>
    <mergeCell ref="I184:M184"/>
    <mergeCell ref="J174:K174"/>
    <mergeCell ref="L174:M174"/>
    <mergeCell ref="N174:O174"/>
    <mergeCell ref="N175:O175"/>
    <mergeCell ref="A178:R178"/>
    <mergeCell ref="B183:D183"/>
    <mergeCell ref="E183:H183"/>
    <mergeCell ref="I183:M183"/>
    <mergeCell ref="N183:Q183"/>
    <mergeCell ref="B175:C175"/>
    <mergeCell ref="B172:C172"/>
    <mergeCell ref="D172:E172"/>
    <mergeCell ref="F172:G172"/>
    <mergeCell ref="J175:K175"/>
    <mergeCell ref="L175:M175"/>
    <mergeCell ref="N173:O173"/>
    <mergeCell ref="B174:C174"/>
    <mergeCell ref="D174:E174"/>
    <mergeCell ref="F174:G174"/>
    <mergeCell ref="H174:I174"/>
    <mergeCell ref="B173:C173"/>
    <mergeCell ref="D173:E173"/>
    <mergeCell ref="F173:G173"/>
    <mergeCell ref="H173:I173"/>
    <mergeCell ref="J173:K173"/>
    <mergeCell ref="L173:M173"/>
    <mergeCell ref="N170:R170"/>
    <mergeCell ref="H172:I172"/>
    <mergeCell ref="J172:K172"/>
    <mergeCell ref="L172:M172"/>
    <mergeCell ref="A171:E171"/>
    <mergeCell ref="F171:G171"/>
    <mergeCell ref="H171:I171"/>
    <mergeCell ref="J171:K171"/>
    <mergeCell ref="L171:M171"/>
    <mergeCell ref="N172:O172"/>
    <mergeCell ref="N171:O171"/>
    <mergeCell ref="A153:C153"/>
    <mergeCell ref="P153:Q153"/>
    <mergeCell ref="P149:Q149"/>
    <mergeCell ref="P150:Q150"/>
    <mergeCell ref="A158:R158"/>
    <mergeCell ref="A163:R164"/>
    <mergeCell ref="B170:C170"/>
    <mergeCell ref="D170:E170"/>
    <mergeCell ref="F170:M170"/>
    <mergeCell ref="A146:C146"/>
    <mergeCell ref="P146:Q146"/>
    <mergeCell ref="A147:C147"/>
    <mergeCell ref="P147:Q147"/>
    <mergeCell ref="A148:C148"/>
    <mergeCell ref="P148:Q148"/>
    <mergeCell ref="A143:C143"/>
    <mergeCell ref="P143:Q143"/>
    <mergeCell ref="A144:C144"/>
    <mergeCell ref="P144:Q144"/>
    <mergeCell ref="A145:C145"/>
    <mergeCell ref="P145:Q145"/>
    <mergeCell ref="A140:C140"/>
    <mergeCell ref="P140:Q140"/>
    <mergeCell ref="A141:C141"/>
    <mergeCell ref="P141:Q141"/>
    <mergeCell ref="A142:C142"/>
    <mergeCell ref="P142:Q142"/>
    <mergeCell ref="A132:R132"/>
    <mergeCell ref="A137:C138"/>
    <mergeCell ref="D137:O137"/>
    <mergeCell ref="P137:Q138"/>
    <mergeCell ref="A139:C139"/>
    <mergeCell ref="P139:Q139"/>
    <mergeCell ref="A125:C126"/>
    <mergeCell ref="D125:O125"/>
    <mergeCell ref="P125:Q126"/>
    <mergeCell ref="A127:C127"/>
    <mergeCell ref="P127:Q127"/>
    <mergeCell ref="A128:C128"/>
    <mergeCell ref="P128:Q128"/>
    <mergeCell ref="A113:B114"/>
    <mergeCell ref="P113:Q113"/>
    <mergeCell ref="P114:Q114"/>
    <mergeCell ref="A115:B115"/>
    <mergeCell ref="P115:Q115"/>
    <mergeCell ref="A120:R120"/>
    <mergeCell ref="A99:R99"/>
    <mergeCell ref="A105:B106"/>
    <mergeCell ref="C105:C106"/>
    <mergeCell ref="D105:O105"/>
    <mergeCell ref="P105:Q106"/>
    <mergeCell ref="A111:B112"/>
    <mergeCell ref="P111:Q111"/>
    <mergeCell ref="P112:Q112"/>
    <mergeCell ref="A107:B108"/>
    <mergeCell ref="P107:Q107"/>
    <mergeCell ref="A85:R85"/>
    <mergeCell ref="A92:C93"/>
    <mergeCell ref="D92:O92"/>
    <mergeCell ref="P92:Q93"/>
    <mergeCell ref="A94:C94"/>
    <mergeCell ref="P94:Q94"/>
    <mergeCell ref="A86:R87"/>
    <mergeCell ref="A74:C74"/>
    <mergeCell ref="P74:Q74"/>
    <mergeCell ref="A75:C75"/>
    <mergeCell ref="P75:Q75"/>
    <mergeCell ref="A76:C76"/>
    <mergeCell ref="P76:Q76"/>
    <mergeCell ref="P71:Q72"/>
    <mergeCell ref="A73:C73"/>
    <mergeCell ref="P73:Q73"/>
    <mergeCell ref="A42:B63"/>
    <mergeCell ref="C42:C63"/>
    <mergeCell ref="D45:E45"/>
    <mergeCell ref="D61:E61"/>
    <mergeCell ref="F61:G61"/>
    <mergeCell ref="D62:E62"/>
    <mergeCell ref="F62:G62"/>
    <mergeCell ref="A71:C72"/>
    <mergeCell ref="D71:O71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7:E47"/>
    <mergeCell ref="F47:G47"/>
    <mergeCell ref="D48:E48"/>
    <mergeCell ref="F48:G48"/>
    <mergeCell ref="D43:E43"/>
    <mergeCell ref="F43:G43"/>
    <mergeCell ref="D44:E44"/>
    <mergeCell ref="F44:G44"/>
    <mergeCell ref="F45:G45"/>
    <mergeCell ref="D46:E46"/>
    <mergeCell ref="F46:G46"/>
    <mergeCell ref="D41:E41"/>
    <mergeCell ref="F41:G41"/>
    <mergeCell ref="H41:I41"/>
    <mergeCell ref="H42:I42"/>
    <mergeCell ref="P40:R40"/>
    <mergeCell ref="J41:K41"/>
    <mergeCell ref="L41:M41"/>
    <mergeCell ref="D42:E42"/>
    <mergeCell ref="F42:G42"/>
    <mergeCell ref="J42:K42"/>
    <mergeCell ref="H22:I34"/>
    <mergeCell ref="J22:K34"/>
    <mergeCell ref="Q22:R34"/>
    <mergeCell ref="L42:M42"/>
    <mergeCell ref="N42:O42"/>
    <mergeCell ref="H21:I21"/>
    <mergeCell ref="J21:K21"/>
    <mergeCell ref="L21:M21"/>
    <mergeCell ref="N41:O41"/>
    <mergeCell ref="Q21:R21"/>
    <mergeCell ref="N22:O34"/>
    <mergeCell ref="P22:P34"/>
    <mergeCell ref="B22:B34"/>
    <mergeCell ref="C22:C34"/>
    <mergeCell ref="D22:E34"/>
    <mergeCell ref="F22:G34"/>
    <mergeCell ref="N21:O21"/>
    <mergeCell ref="A39:B41"/>
    <mergeCell ref="C39:C41"/>
    <mergeCell ref="D39:R39"/>
    <mergeCell ref="D40:I40"/>
    <mergeCell ref="J40:O40"/>
    <mergeCell ref="A154:C154"/>
    <mergeCell ref="P154:Q154"/>
    <mergeCell ref="L22:M34"/>
    <mergeCell ref="A12:R12"/>
    <mergeCell ref="A13:R13"/>
    <mergeCell ref="A14:R14"/>
    <mergeCell ref="H17:Q17"/>
    <mergeCell ref="D21:E21"/>
    <mergeCell ref="F21:G21"/>
    <mergeCell ref="A22:A34"/>
  </mergeCells>
  <printOptions/>
  <pageMargins left="1.2598425196850394" right="0.1968503937007874" top="0.984251968503937" bottom="0" header="0.15748031496062992" footer="0.15748031496062992"/>
  <pageSetup horizontalDpi="600" verticalDpi="600" orientation="landscape" paperSize="9" scale="77" r:id="rId1"/>
  <rowBreaks count="11" manualBreakCount="11">
    <brk id="22" max="18" man="1"/>
    <brk id="28" max="18" man="1"/>
    <brk id="36" max="18" man="1"/>
    <brk id="56" max="18" man="1"/>
    <brk id="68" max="18" man="1"/>
    <brk id="102" max="18" man="1"/>
    <brk id="120" max="18" man="1"/>
    <brk id="134" max="18" man="1"/>
    <brk id="152" max="18" man="1"/>
    <brk id="179" max="18" man="1"/>
    <brk id="208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PageLayoutView="0" workbookViewId="0" topLeftCell="A1">
      <pane xSplit="2" ySplit="3" topLeftCell="C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.00390625" defaultRowHeight="12.75"/>
  <cols>
    <col min="1" max="1" width="28.00390625" style="273" customWidth="1"/>
    <col min="2" max="2" width="6.625" style="273" customWidth="1"/>
    <col min="3" max="9" width="13.125" style="273" bestFit="1" customWidth="1"/>
    <col min="10" max="11" width="14.00390625" style="273" bestFit="1" customWidth="1"/>
    <col min="12" max="12" width="13.25390625" style="273" bestFit="1" customWidth="1"/>
    <col min="13" max="18" width="14.00390625" style="273" bestFit="1" customWidth="1"/>
    <col min="19" max="19" width="15.25390625" style="273" bestFit="1" customWidth="1"/>
    <col min="20" max="20" width="15.875" style="273" bestFit="1" customWidth="1"/>
    <col min="21" max="21" width="15.125" style="273" bestFit="1" customWidth="1"/>
    <col min="22" max="16384" width="9.125" style="273" customWidth="1"/>
  </cols>
  <sheetData>
    <row r="1" spans="1:19" ht="15">
      <c r="A1" s="591" t="s">
        <v>355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</row>
    <row r="2" spans="1:19" ht="15">
      <c r="A2" s="326"/>
      <c r="B2" s="592" t="s">
        <v>74</v>
      </c>
      <c r="C2" s="592" t="s">
        <v>147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3"/>
      <c r="S2" s="327"/>
    </row>
    <row r="3" spans="1:19" ht="15">
      <c r="A3" s="326"/>
      <c r="B3" s="592"/>
      <c r="C3" s="326">
        <v>1</v>
      </c>
      <c r="D3" s="326">
        <v>2</v>
      </c>
      <c r="E3" s="326">
        <v>3</v>
      </c>
      <c r="F3" s="326" t="s">
        <v>146</v>
      </c>
      <c r="G3" s="326">
        <v>4</v>
      </c>
      <c r="H3" s="326">
        <v>5</v>
      </c>
      <c r="I3" s="326">
        <v>6</v>
      </c>
      <c r="J3" s="326" t="s">
        <v>145</v>
      </c>
      <c r="K3" s="326">
        <v>7</v>
      </c>
      <c r="L3" s="326">
        <v>8</v>
      </c>
      <c r="M3" s="326">
        <v>9</v>
      </c>
      <c r="N3" s="326" t="s">
        <v>144</v>
      </c>
      <c r="O3" s="326">
        <v>10</v>
      </c>
      <c r="P3" s="326">
        <v>11</v>
      </c>
      <c r="Q3" s="326">
        <v>12</v>
      </c>
      <c r="R3" s="326" t="s">
        <v>143</v>
      </c>
      <c r="S3" s="326"/>
    </row>
    <row r="4" spans="1:21" ht="15">
      <c r="A4" s="326"/>
      <c r="B4" s="328">
        <v>211</v>
      </c>
      <c r="C4" s="345">
        <v>359736.82</v>
      </c>
      <c r="D4" s="345">
        <v>911843.5</v>
      </c>
      <c r="E4" s="345">
        <v>1031605</v>
      </c>
      <c r="F4" s="345">
        <f>C4+D4+E4</f>
        <v>2303185.3200000003</v>
      </c>
      <c r="G4" s="345">
        <v>1507009</v>
      </c>
      <c r="H4" s="345">
        <v>1242021</v>
      </c>
      <c r="I4" s="345">
        <v>845205.82</v>
      </c>
      <c r="J4" s="345">
        <f>G4+H4+I4</f>
        <v>3594235.82</v>
      </c>
      <c r="K4" s="345">
        <v>973351.35</v>
      </c>
      <c r="L4" s="345">
        <v>553596.65</v>
      </c>
      <c r="M4" s="345">
        <v>919218.86</v>
      </c>
      <c r="N4" s="345"/>
      <c r="O4" s="345">
        <f>R4-P4-Q4</f>
        <v>0</v>
      </c>
      <c r="P4" s="345"/>
      <c r="Q4" s="345"/>
      <c r="R4" s="345"/>
      <c r="S4" s="345">
        <f>S5+S6</f>
        <v>8343588</v>
      </c>
      <c r="T4" s="329">
        <f>проверка!C7</f>
        <v>34066113</v>
      </c>
      <c r="U4" s="329">
        <f>T4-S4</f>
        <v>25722525</v>
      </c>
    </row>
    <row r="5" spans="1:21" s="235" customFormat="1" ht="45">
      <c r="A5" s="322" t="s">
        <v>142</v>
      </c>
      <c r="B5" s="330">
        <v>211</v>
      </c>
      <c r="C5" s="346">
        <v>259858</v>
      </c>
      <c r="D5" s="346">
        <v>649645</v>
      </c>
      <c r="E5" s="346">
        <f>D5</f>
        <v>649645</v>
      </c>
      <c r="F5" s="347">
        <f>SUM(C5:E5)</f>
        <v>1559148</v>
      </c>
      <c r="G5" s="346">
        <f>ROUND(E5*1.6,0)-400000-205000</f>
        <v>434432</v>
      </c>
      <c r="H5" s="346">
        <f>E5*2-400000-79837.69+250000-400000</f>
        <v>669452.31</v>
      </c>
      <c r="I5" s="346">
        <f>ROUND(E5*0.6,0)-250000+76085</f>
        <v>215872</v>
      </c>
      <c r="J5" s="348">
        <f>SUM(G5:I5)</f>
        <v>1319756.31</v>
      </c>
      <c r="K5" s="346">
        <v>371469</v>
      </c>
      <c r="L5" s="346">
        <v>249446</v>
      </c>
      <c r="M5" s="346">
        <v>315420</v>
      </c>
      <c r="N5" s="346">
        <f aca="true" t="shared" si="0" ref="N5:N10">SUM(K5:M5)</f>
        <v>936335</v>
      </c>
      <c r="O5" s="346"/>
      <c r="P5" s="346"/>
      <c r="Q5" s="346"/>
      <c r="R5" s="346">
        <f>SUM(O5:Q5)</f>
        <v>0</v>
      </c>
      <c r="S5" s="349">
        <f aca="true" t="shared" si="1" ref="S5:S10">R5+N5+J5+F5</f>
        <v>3815239.31</v>
      </c>
      <c r="T5" s="332">
        <f>'свод '!F16</f>
        <v>16929326.67</v>
      </c>
      <c r="U5" s="329">
        <f aca="true" t="shared" si="2" ref="U5:U20">T5-S5</f>
        <v>13114087.360000001</v>
      </c>
    </row>
    <row r="6" spans="1:21" ht="45">
      <c r="A6" s="322" t="s">
        <v>53</v>
      </c>
      <c r="B6" s="333">
        <v>211</v>
      </c>
      <c r="C6" s="349">
        <f>C4-C5</f>
        <v>99878.82</v>
      </c>
      <c r="D6" s="349">
        <f>D4-D5</f>
        <v>262198.5</v>
      </c>
      <c r="E6" s="349">
        <f>E4-E5</f>
        <v>381960</v>
      </c>
      <c r="F6" s="347">
        <f>SUM(C6:E6)</f>
        <v>744037.3200000001</v>
      </c>
      <c r="G6" s="349">
        <f>G4-G5</f>
        <v>1072577</v>
      </c>
      <c r="H6" s="349">
        <f>H4-H5</f>
        <v>572568.69</v>
      </c>
      <c r="I6" s="349">
        <f>I4-I5</f>
        <v>629333.82</v>
      </c>
      <c r="J6" s="348">
        <f>SUM(G6:I6)</f>
        <v>2274479.51</v>
      </c>
      <c r="K6" s="349">
        <f>K4-K5</f>
        <v>601882.35</v>
      </c>
      <c r="L6" s="349">
        <f>L4-L5</f>
        <v>304150.65</v>
      </c>
      <c r="M6" s="349">
        <f>M4-M5</f>
        <v>603798.86</v>
      </c>
      <c r="N6" s="346">
        <f t="shared" si="0"/>
        <v>1509831.8599999999</v>
      </c>
      <c r="O6" s="349"/>
      <c r="P6" s="349"/>
      <c r="Q6" s="349"/>
      <c r="R6" s="346">
        <f>SUM(O6:Q6)</f>
        <v>0</v>
      </c>
      <c r="S6" s="349">
        <f t="shared" si="1"/>
        <v>4528348.6899999995</v>
      </c>
      <c r="T6" s="329">
        <f>'свод '!F36</f>
        <v>17136786.330000002</v>
      </c>
      <c r="U6" s="329">
        <f t="shared" si="2"/>
        <v>12608437.640000002</v>
      </c>
    </row>
    <row r="7" spans="1:21" ht="56.25">
      <c r="A7" s="322" t="s">
        <v>141</v>
      </c>
      <c r="B7" s="333">
        <v>213</v>
      </c>
      <c r="C7" s="349">
        <v>78477</v>
      </c>
      <c r="D7" s="349">
        <v>196193</v>
      </c>
      <c r="E7" s="349">
        <v>196193</v>
      </c>
      <c r="F7" s="347">
        <f>SUM(C7:E7)</f>
        <v>470863</v>
      </c>
      <c r="G7" s="349">
        <v>132518</v>
      </c>
      <c r="H7" s="349">
        <v>57018</v>
      </c>
      <c r="I7" s="349">
        <v>136344.38</v>
      </c>
      <c r="J7" s="348">
        <f>SUM(G7:I7)</f>
        <v>325880.38</v>
      </c>
      <c r="K7" s="349">
        <v>82581</v>
      </c>
      <c r="L7" s="349">
        <v>62048</v>
      </c>
      <c r="M7" s="349">
        <v>147429.53</v>
      </c>
      <c r="N7" s="346">
        <f t="shared" si="0"/>
        <v>292058.53</v>
      </c>
      <c r="O7" s="349"/>
      <c r="P7" s="349"/>
      <c r="Q7" s="349"/>
      <c r="R7" s="346">
        <f>SUM(O7:Q7)</f>
        <v>0</v>
      </c>
      <c r="S7" s="349">
        <f t="shared" si="1"/>
        <v>1088801.9100000001</v>
      </c>
      <c r="T7" s="329">
        <f>'свод '!F17</f>
        <v>5112656.65</v>
      </c>
      <c r="U7" s="329">
        <f t="shared" si="2"/>
        <v>4023854.74</v>
      </c>
    </row>
    <row r="8" spans="1:21" s="263" customFormat="1" ht="56.25">
      <c r="A8" s="323" t="s">
        <v>349</v>
      </c>
      <c r="B8" s="334">
        <v>213</v>
      </c>
      <c r="C8" s="349">
        <f>C9-C7</f>
        <v>163518.07</v>
      </c>
      <c r="D8" s="349">
        <f>D9-D7</f>
        <v>96748</v>
      </c>
      <c r="E8" s="349">
        <f>E9-E7</f>
        <v>35391.84</v>
      </c>
      <c r="F8" s="347">
        <f>SUM(C8:E8)</f>
        <v>295657.91000000003</v>
      </c>
      <c r="G8" s="349">
        <f>G9-G7</f>
        <v>274673.78</v>
      </c>
      <c r="H8" s="349">
        <f>H9-H7</f>
        <v>150610.99999999997</v>
      </c>
      <c r="I8" s="349">
        <f>I9-I7</f>
        <v>378356.74999999994</v>
      </c>
      <c r="J8" s="348">
        <f>SUM(G8:I8)</f>
        <v>803641.53</v>
      </c>
      <c r="K8" s="349">
        <f>K9-K7</f>
        <v>352643.03</v>
      </c>
      <c r="L8" s="349"/>
      <c r="M8" s="349">
        <f>M9-M7</f>
        <v>99645.44</v>
      </c>
      <c r="N8" s="346">
        <f t="shared" si="0"/>
        <v>452288.47000000003</v>
      </c>
      <c r="O8" s="349"/>
      <c r="P8" s="349"/>
      <c r="Q8" s="349"/>
      <c r="R8" s="346">
        <f>SUM(O8:Q8)</f>
        <v>0</v>
      </c>
      <c r="S8" s="349">
        <f t="shared" si="1"/>
        <v>1551587.9100000001</v>
      </c>
      <c r="T8" s="335">
        <f>'свод '!F38</f>
        <v>5175310.35</v>
      </c>
      <c r="U8" s="329">
        <f t="shared" si="2"/>
        <v>3623722.4399999995</v>
      </c>
    </row>
    <row r="9" spans="1:21" s="235" customFormat="1" ht="15">
      <c r="A9" s="322"/>
      <c r="B9" s="331">
        <v>213</v>
      </c>
      <c r="C9" s="345">
        <v>241995.07</v>
      </c>
      <c r="D9" s="345">
        <v>292941</v>
      </c>
      <c r="E9" s="345">
        <f>294225.74-62640.9</f>
        <v>231584.84</v>
      </c>
      <c r="F9" s="345">
        <f>C9+D9+E9</f>
        <v>766520.91</v>
      </c>
      <c r="G9" s="345">
        <v>407191.78</v>
      </c>
      <c r="H9" s="345">
        <f>271571.85-63942.85</f>
        <v>207628.99999999997</v>
      </c>
      <c r="I9" s="345">
        <f>566325.83-51624.7</f>
        <v>514701.12999999995</v>
      </c>
      <c r="J9" s="345">
        <f>G9+H9+I9</f>
        <v>1129521.91</v>
      </c>
      <c r="K9" s="345">
        <v>435224.03</v>
      </c>
      <c r="L9" s="345"/>
      <c r="M9" s="345">
        <v>247074.97</v>
      </c>
      <c r="N9" s="346">
        <f t="shared" si="0"/>
        <v>682299</v>
      </c>
      <c r="O9" s="345">
        <f>R9-P9-Q9</f>
        <v>0</v>
      </c>
      <c r="P9" s="345"/>
      <c r="Q9" s="345"/>
      <c r="R9" s="345"/>
      <c r="S9" s="345">
        <f t="shared" si="1"/>
        <v>2578341.82</v>
      </c>
      <c r="T9" s="332">
        <f>проверка!C8</f>
        <v>10287967</v>
      </c>
      <c r="U9" s="329">
        <f t="shared" si="2"/>
        <v>7709625.18</v>
      </c>
    </row>
    <row r="10" spans="1:21" ht="22.5">
      <c r="A10" s="322" t="s">
        <v>51</v>
      </c>
      <c r="B10" s="326">
        <v>212</v>
      </c>
      <c r="C10" s="349"/>
      <c r="D10" s="349">
        <v>50</v>
      </c>
      <c r="E10" s="349">
        <v>50</v>
      </c>
      <c r="F10" s="347">
        <f>SUM(C10:E10)</f>
        <v>100</v>
      </c>
      <c r="G10" s="349">
        <v>100</v>
      </c>
      <c r="H10" s="349"/>
      <c r="I10" s="349">
        <v>50</v>
      </c>
      <c r="J10" s="347">
        <f>SUM(G10:I10)</f>
        <v>150</v>
      </c>
      <c r="K10" s="349">
        <v>200</v>
      </c>
      <c r="L10" s="349"/>
      <c r="M10" s="349"/>
      <c r="N10" s="349">
        <f t="shared" si="0"/>
        <v>200</v>
      </c>
      <c r="O10" s="349"/>
      <c r="P10" s="349"/>
      <c r="Q10" s="349"/>
      <c r="R10" s="349"/>
      <c r="S10" s="349">
        <f t="shared" si="1"/>
        <v>450</v>
      </c>
      <c r="T10" s="329" t="e">
        <f>'свод '!#REF!</f>
        <v>#REF!</v>
      </c>
      <c r="U10" s="329" t="e">
        <f t="shared" si="2"/>
        <v>#REF!</v>
      </c>
    </row>
    <row r="11" spans="1:21" ht="15">
      <c r="A11" s="260" t="s">
        <v>69</v>
      </c>
      <c r="B11" s="326">
        <v>221</v>
      </c>
      <c r="C11" s="349"/>
      <c r="D11" s="349">
        <v>3511.31</v>
      </c>
      <c r="E11" s="349">
        <v>1128.69</v>
      </c>
      <c r="F11" s="347">
        <f aca="true" t="shared" si="3" ref="F11:F20">SUM(C11:E11)</f>
        <v>4640</v>
      </c>
      <c r="G11" s="349">
        <v>2000</v>
      </c>
      <c r="H11" s="349">
        <v>1200</v>
      </c>
      <c r="I11" s="349">
        <v>1440</v>
      </c>
      <c r="J11" s="347">
        <f aca="true" t="shared" si="4" ref="J11:J20">SUM(G11:I11)</f>
        <v>4640</v>
      </c>
      <c r="K11" s="349">
        <v>1550</v>
      </c>
      <c r="L11" s="349">
        <v>3090</v>
      </c>
      <c r="M11" s="349"/>
      <c r="N11" s="349">
        <f aca="true" t="shared" si="5" ref="N11:N16">SUM(K11:M11)</f>
        <v>4640</v>
      </c>
      <c r="O11" s="349"/>
      <c r="P11" s="349"/>
      <c r="Q11" s="349"/>
      <c r="R11" s="349"/>
      <c r="S11" s="349">
        <f aca="true" t="shared" si="6" ref="S11:S20">R11+N11+J11+F11</f>
        <v>13920</v>
      </c>
      <c r="T11" s="329">
        <f>'свод '!F109</f>
        <v>60235</v>
      </c>
      <c r="U11" s="329">
        <f t="shared" si="2"/>
        <v>46315</v>
      </c>
    </row>
    <row r="12" spans="1:21" ht="15">
      <c r="A12" s="260" t="s">
        <v>136</v>
      </c>
      <c r="B12" s="326">
        <v>223</v>
      </c>
      <c r="C12" s="349">
        <v>92672.51</v>
      </c>
      <c r="D12" s="349">
        <v>110096.86</v>
      </c>
      <c r="E12" s="349">
        <v>102166.4</v>
      </c>
      <c r="F12" s="347">
        <f t="shared" si="3"/>
        <v>304935.77</v>
      </c>
      <c r="G12" s="349">
        <v>88396</v>
      </c>
      <c r="H12" s="349">
        <v>52603.55</v>
      </c>
      <c r="I12" s="349">
        <v>27229.36</v>
      </c>
      <c r="J12" s="347">
        <f t="shared" si="4"/>
        <v>168228.90999999997</v>
      </c>
      <c r="K12" s="349">
        <v>19418.42</v>
      </c>
      <c r="L12" s="349">
        <v>11521.19</v>
      </c>
      <c r="M12" s="349">
        <v>15649.78</v>
      </c>
      <c r="N12" s="349">
        <f t="shared" si="5"/>
        <v>46589.39</v>
      </c>
      <c r="O12" s="349"/>
      <c r="P12" s="349"/>
      <c r="Q12" s="349"/>
      <c r="R12" s="349"/>
      <c r="S12" s="349">
        <f t="shared" si="6"/>
        <v>519754.07</v>
      </c>
      <c r="T12" s="329">
        <f>'свод '!F148</f>
        <v>3510500</v>
      </c>
      <c r="U12" s="329">
        <f t="shared" si="2"/>
        <v>2990745.93</v>
      </c>
    </row>
    <row r="13" spans="1:21" ht="15">
      <c r="A13" s="324" t="s">
        <v>140</v>
      </c>
      <c r="B13" s="326">
        <v>225</v>
      </c>
      <c r="C13" s="349">
        <v>6588.73</v>
      </c>
      <c r="D13" s="349">
        <v>14947.69</v>
      </c>
      <c r="E13" s="349">
        <v>1811.3</v>
      </c>
      <c r="F13" s="347">
        <f t="shared" si="3"/>
        <v>23347.719999999998</v>
      </c>
      <c r="G13" s="349">
        <v>19804.54</v>
      </c>
      <c r="H13" s="349">
        <v>6767.3</v>
      </c>
      <c r="I13" s="349"/>
      <c r="J13" s="347">
        <f t="shared" si="4"/>
        <v>26571.84</v>
      </c>
      <c r="K13" s="349">
        <v>31545.03</v>
      </c>
      <c r="L13" s="349">
        <v>28452.81</v>
      </c>
      <c r="M13" s="349">
        <v>8861.74</v>
      </c>
      <c r="N13" s="349">
        <f t="shared" si="5"/>
        <v>68859.58</v>
      </c>
      <c r="O13" s="349"/>
      <c r="P13" s="349"/>
      <c r="Q13" s="349"/>
      <c r="R13" s="349"/>
      <c r="S13" s="349">
        <f t="shared" si="6"/>
        <v>118779.14</v>
      </c>
      <c r="T13" s="329">
        <f>проверка!C17</f>
        <v>639075</v>
      </c>
      <c r="U13" s="329">
        <f t="shared" si="2"/>
        <v>520295.86</v>
      </c>
    </row>
    <row r="14" spans="1:21" ht="15">
      <c r="A14" s="260" t="s">
        <v>139</v>
      </c>
      <c r="B14" s="326">
        <v>226</v>
      </c>
      <c r="C14" s="349">
        <v>2600</v>
      </c>
      <c r="D14" s="349">
        <v>2000.2</v>
      </c>
      <c r="E14" s="349">
        <v>1000.1</v>
      </c>
      <c r="F14" s="347">
        <f t="shared" si="3"/>
        <v>5600.3</v>
      </c>
      <c r="G14" s="349">
        <v>7400.1</v>
      </c>
      <c r="H14" s="349">
        <v>5017.6</v>
      </c>
      <c r="I14" s="349"/>
      <c r="J14" s="347">
        <f t="shared" si="4"/>
        <v>12417.7</v>
      </c>
      <c r="K14" s="349">
        <v>77582.7</v>
      </c>
      <c r="L14" s="349">
        <v>4730.1</v>
      </c>
      <c r="M14" s="349"/>
      <c r="N14" s="349">
        <f t="shared" si="5"/>
        <v>82312.8</v>
      </c>
      <c r="O14" s="349"/>
      <c r="P14" s="349"/>
      <c r="Q14" s="349"/>
      <c r="R14" s="349"/>
      <c r="S14" s="349">
        <f t="shared" si="6"/>
        <v>100330.8</v>
      </c>
      <c r="T14" s="329">
        <f>проверка!C18</f>
        <v>300554</v>
      </c>
      <c r="U14" s="329">
        <f t="shared" si="2"/>
        <v>200223.2</v>
      </c>
    </row>
    <row r="15" spans="1:21" ht="15.75" customHeight="1">
      <c r="A15" s="326" t="s">
        <v>135</v>
      </c>
      <c r="B15" s="326">
        <v>290</v>
      </c>
      <c r="C15" s="349">
        <v>85762</v>
      </c>
      <c r="D15" s="349">
        <v>17738</v>
      </c>
      <c r="E15" s="349"/>
      <c r="F15" s="347">
        <f>SUM(C15:E15)</f>
        <v>103500</v>
      </c>
      <c r="G15" s="349">
        <v>17805</v>
      </c>
      <c r="H15" s="349">
        <v>86118</v>
      </c>
      <c r="I15" s="349"/>
      <c r="J15" s="347">
        <f t="shared" si="4"/>
        <v>103923</v>
      </c>
      <c r="K15" s="349">
        <v>103876</v>
      </c>
      <c r="L15" s="349"/>
      <c r="M15" s="349"/>
      <c r="N15" s="349">
        <f t="shared" si="5"/>
        <v>103876</v>
      </c>
      <c r="O15" s="349"/>
      <c r="P15" s="349"/>
      <c r="Q15" s="349"/>
      <c r="R15" s="349"/>
      <c r="S15" s="349">
        <f>R15+N15+J15+F15</f>
        <v>311299</v>
      </c>
      <c r="T15" s="336">
        <f>'свод '!F159</f>
        <v>2576170</v>
      </c>
      <c r="U15" s="329">
        <f>T15-S15</f>
        <v>2264871</v>
      </c>
    </row>
    <row r="16" spans="1:21" ht="15">
      <c r="A16" s="325" t="s">
        <v>122</v>
      </c>
      <c r="B16" s="326">
        <v>340</v>
      </c>
      <c r="C16" s="349">
        <v>49995.82</v>
      </c>
      <c r="D16" s="349">
        <v>98439.8</v>
      </c>
      <c r="E16" s="349">
        <v>175747.04</v>
      </c>
      <c r="F16" s="347">
        <f>SUM(C16:E16)</f>
        <v>324182.66000000003</v>
      </c>
      <c r="G16" s="349">
        <v>88189.82</v>
      </c>
      <c r="H16" s="349">
        <v>180386.41</v>
      </c>
      <c r="I16" s="349">
        <v>69260.81</v>
      </c>
      <c r="J16" s="347">
        <f t="shared" si="4"/>
        <v>337837.04</v>
      </c>
      <c r="K16" s="349">
        <v>25157.93</v>
      </c>
      <c r="L16" s="349">
        <v>470377.12</v>
      </c>
      <c r="M16" s="349">
        <v>32319.23</v>
      </c>
      <c r="N16" s="349">
        <f t="shared" si="5"/>
        <v>527854.28</v>
      </c>
      <c r="O16" s="349"/>
      <c r="P16" s="349"/>
      <c r="Q16" s="349"/>
      <c r="R16" s="349"/>
      <c r="S16" s="349">
        <f t="shared" si="6"/>
        <v>1189873.98</v>
      </c>
      <c r="T16" s="329">
        <f>проверка!C20</f>
        <v>654883</v>
      </c>
      <c r="U16" s="329">
        <f t="shared" si="2"/>
        <v>-534990.98</v>
      </c>
    </row>
    <row r="17" spans="1:21" s="339" customFormat="1" ht="15">
      <c r="A17" s="337" t="s">
        <v>137</v>
      </c>
      <c r="B17" s="337"/>
      <c r="C17" s="350">
        <f>C5+C7</f>
        <v>338335</v>
      </c>
      <c r="D17" s="350">
        <f>D5+D7</f>
        <v>845838</v>
      </c>
      <c r="E17" s="350">
        <f>E5+E7</f>
        <v>845838</v>
      </c>
      <c r="F17" s="350">
        <f t="shared" si="3"/>
        <v>2030011</v>
      </c>
      <c r="G17" s="350">
        <f>G5+G7</f>
        <v>566950</v>
      </c>
      <c r="H17" s="350">
        <f>H5+H7</f>
        <v>726470.31</v>
      </c>
      <c r="I17" s="350">
        <f>I5+I7</f>
        <v>352216.38</v>
      </c>
      <c r="J17" s="350">
        <f t="shared" si="4"/>
        <v>1645636.69</v>
      </c>
      <c r="K17" s="350">
        <f>K5+K7</f>
        <v>454050</v>
      </c>
      <c r="L17" s="350">
        <f>L5+L7</f>
        <v>311494</v>
      </c>
      <c r="M17" s="350">
        <f>M5+M7</f>
        <v>462849.53</v>
      </c>
      <c r="N17" s="350">
        <f>SUM(K17:M17)</f>
        <v>1228393.53</v>
      </c>
      <c r="O17" s="350">
        <f>O5+O7</f>
        <v>0</v>
      </c>
      <c r="P17" s="350">
        <f>P5+P7</f>
        <v>0</v>
      </c>
      <c r="Q17" s="350">
        <f>Q5+Q7</f>
        <v>0</v>
      </c>
      <c r="R17" s="350">
        <f>SUM(O17:Q17)</f>
        <v>0</v>
      </c>
      <c r="S17" s="351">
        <f t="shared" si="6"/>
        <v>4904041.22</v>
      </c>
      <c r="T17" s="338">
        <f>'свод '!F20</f>
        <v>22381964.32</v>
      </c>
      <c r="U17" s="329">
        <f t="shared" si="2"/>
        <v>17477923.1</v>
      </c>
    </row>
    <row r="18" spans="1:21" ht="15.75">
      <c r="A18" s="340" t="s">
        <v>138</v>
      </c>
      <c r="B18" s="326"/>
      <c r="C18" s="352">
        <f>C16+C13+C12+C11+C10+C8+C6+C14</f>
        <v>415253.95</v>
      </c>
      <c r="D18" s="352">
        <f>D16+D13+D12+D11+D10+D8+D6+D14</f>
        <v>587992.36</v>
      </c>
      <c r="E18" s="352">
        <f>E16+E13+E12+E11+E10+E8+E6+E14</f>
        <v>699255.37</v>
      </c>
      <c r="F18" s="352">
        <f t="shared" si="3"/>
        <v>1702501.6800000002</v>
      </c>
      <c r="G18" s="352">
        <f>G16+G13+G12+G11+G10+G8+G6+G14</f>
        <v>1553141.2400000002</v>
      </c>
      <c r="H18" s="352">
        <f>H16+H13+H12+H11+H10+H8+H6+H14</f>
        <v>969154.5499999999</v>
      </c>
      <c r="I18" s="352">
        <f>I16+I13+I12+I11+I10+I8+I6+I14</f>
        <v>1105670.7399999998</v>
      </c>
      <c r="J18" s="352">
        <f t="shared" si="4"/>
        <v>3627966.53</v>
      </c>
      <c r="K18" s="352">
        <f>K16+K13+K12+K11+K10+K8+K6+K14</f>
        <v>1109979.46</v>
      </c>
      <c r="L18" s="352">
        <f>L16+L13+L12+L11+L10+L8+L6+L14</f>
        <v>822321.87</v>
      </c>
      <c r="M18" s="352">
        <f>M16+M13+M12+M11+M10+M8+M6+M14</f>
        <v>760275.05</v>
      </c>
      <c r="N18" s="352">
        <f>SUM(K18:M18)</f>
        <v>2692576.38</v>
      </c>
      <c r="O18" s="352">
        <f>O16+O13+O12+O11+O10+O8+O6+O14</f>
        <v>0</v>
      </c>
      <c r="P18" s="352">
        <f>P16+P13+P12+P11+P10+P8+P6+P14</f>
        <v>0</v>
      </c>
      <c r="Q18" s="352">
        <f>Q16+Q13+Q12+Q11+Q10+Q8+Q6+Q14</f>
        <v>0</v>
      </c>
      <c r="R18" s="352">
        <f>SUM(O18:Q18)</f>
        <v>0</v>
      </c>
      <c r="S18" s="351">
        <f t="shared" si="6"/>
        <v>8023044.59</v>
      </c>
      <c r="T18" s="329">
        <f>'свод '!F149</f>
        <v>30722083.68</v>
      </c>
      <c r="U18" s="329">
        <f t="shared" si="2"/>
        <v>22699039.09</v>
      </c>
    </row>
    <row r="19" spans="1:21" ht="15">
      <c r="A19" s="337" t="s">
        <v>134</v>
      </c>
      <c r="B19" s="326"/>
      <c r="C19" s="350">
        <f>C15</f>
        <v>85762</v>
      </c>
      <c r="D19" s="350">
        <f>D15</f>
        <v>17738</v>
      </c>
      <c r="E19" s="350">
        <f>E15</f>
        <v>0</v>
      </c>
      <c r="F19" s="350">
        <f t="shared" si="3"/>
        <v>103500</v>
      </c>
      <c r="G19" s="350">
        <f>G15</f>
        <v>17805</v>
      </c>
      <c r="H19" s="350">
        <f>H15</f>
        <v>86118</v>
      </c>
      <c r="I19" s="350">
        <f>I15</f>
        <v>0</v>
      </c>
      <c r="J19" s="350">
        <f t="shared" si="4"/>
        <v>103923</v>
      </c>
      <c r="K19" s="350">
        <f>K15</f>
        <v>103876</v>
      </c>
      <c r="L19" s="350">
        <f>L15</f>
        <v>0</v>
      </c>
      <c r="M19" s="350">
        <f>M15</f>
        <v>0</v>
      </c>
      <c r="N19" s="350">
        <f>SUM(K19:M19)</f>
        <v>103876</v>
      </c>
      <c r="O19" s="350">
        <f>O15</f>
        <v>0</v>
      </c>
      <c r="P19" s="350">
        <f>P15</f>
        <v>0</v>
      </c>
      <c r="Q19" s="350">
        <f>Q15</f>
        <v>0</v>
      </c>
      <c r="R19" s="350">
        <f>SUM(O19:Q19)</f>
        <v>0</v>
      </c>
      <c r="S19" s="351">
        <f t="shared" si="6"/>
        <v>311299</v>
      </c>
      <c r="T19" s="329">
        <f>'свод '!F159</f>
        <v>2576170</v>
      </c>
      <c r="U19" s="329">
        <f t="shared" si="2"/>
        <v>2264871</v>
      </c>
    </row>
    <row r="20" spans="1:21" s="343" customFormat="1" ht="15.75">
      <c r="A20" s="341" t="s">
        <v>133</v>
      </c>
      <c r="B20" s="341"/>
      <c r="C20" s="353">
        <f>C19+C17+C18</f>
        <v>839350.95</v>
      </c>
      <c r="D20" s="353">
        <f>D19+D17+D18</f>
        <v>1451568.3599999999</v>
      </c>
      <c r="E20" s="353">
        <f>E19+E17+E18</f>
        <v>1545093.37</v>
      </c>
      <c r="F20" s="354">
        <f t="shared" si="3"/>
        <v>3836012.6799999997</v>
      </c>
      <c r="G20" s="353">
        <f>G19+G17+G18</f>
        <v>2137896.24</v>
      </c>
      <c r="H20" s="353">
        <f>H19+H17+H18</f>
        <v>1781742.8599999999</v>
      </c>
      <c r="I20" s="353">
        <f>I19+I17+I18</f>
        <v>1457887.1199999996</v>
      </c>
      <c r="J20" s="354">
        <f t="shared" si="4"/>
        <v>5377526.22</v>
      </c>
      <c r="K20" s="353">
        <f>K19+K17+K18</f>
        <v>1667905.46</v>
      </c>
      <c r="L20" s="353">
        <f>L19+L17+L18</f>
        <v>1133815.87</v>
      </c>
      <c r="M20" s="353">
        <f>M19+M17+M18</f>
        <v>1223124.58</v>
      </c>
      <c r="N20" s="354">
        <f>SUM(K20:M20)</f>
        <v>4024845.91</v>
      </c>
      <c r="O20" s="353">
        <f>O19+O17+O18</f>
        <v>0</v>
      </c>
      <c r="P20" s="353">
        <f>P19+P17+P18</f>
        <v>0</v>
      </c>
      <c r="Q20" s="353">
        <f>Q19+Q17+Q18</f>
        <v>0</v>
      </c>
      <c r="R20" s="354">
        <f>SUM(O20:Q20)</f>
        <v>0</v>
      </c>
      <c r="S20" s="355">
        <f t="shared" si="6"/>
        <v>13238384.809999999</v>
      </c>
      <c r="T20" s="342">
        <f>'свод '!F160</f>
        <v>55680218</v>
      </c>
      <c r="U20" s="329">
        <f t="shared" si="2"/>
        <v>42441833.19</v>
      </c>
    </row>
    <row r="21" spans="19:20" ht="15">
      <c r="S21" s="273">
        <v>9213538.9</v>
      </c>
      <c r="T21" s="329">
        <f>S20-S21</f>
        <v>4024845.9099999983</v>
      </c>
    </row>
    <row r="22" spans="7:9" ht="15">
      <c r="G22" s="273">
        <v>2137896.24</v>
      </c>
      <c r="H22" s="273">
        <v>1781742.86</v>
      </c>
      <c r="I22" s="273">
        <v>1457887.12</v>
      </c>
    </row>
    <row r="23" spans="7:18" ht="15">
      <c r="G23" s="329">
        <f>G20-G22</f>
        <v>0</v>
      </c>
      <c r="H23" s="329">
        <f>H20-H22</f>
        <v>0</v>
      </c>
      <c r="I23" s="329">
        <f>I20-I22</f>
        <v>0</v>
      </c>
      <c r="R23" s="329"/>
    </row>
    <row r="24" ht="15">
      <c r="F24" s="273">
        <f>S21-G22-H22-I22</f>
        <v>3836012.6799999997</v>
      </c>
    </row>
    <row r="25" ht="15">
      <c r="F25" s="329">
        <f>F20-F24</f>
        <v>0</v>
      </c>
    </row>
    <row r="26" ht="15">
      <c r="A26" s="344"/>
    </row>
    <row r="27" ht="15">
      <c r="B27" s="344"/>
    </row>
    <row r="28" spans="1:9" ht="15">
      <c r="A28" s="344" t="s">
        <v>120</v>
      </c>
      <c r="H28" s="591"/>
      <c r="I28" s="591"/>
    </row>
    <row r="30" spans="1:9" ht="15">
      <c r="A30" s="273" t="s">
        <v>105</v>
      </c>
      <c r="H30" s="591"/>
      <c r="I30" s="591"/>
    </row>
  </sheetData>
  <sheetProtection/>
  <mergeCells count="5">
    <mergeCell ref="A1:S1"/>
    <mergeCell ref="B2:B3"/>
    <mergeCell ref="C2:R2"/>
    <mergeCell ref="H28:I28"/>
    <mergeCell ref="H30:I30"/>
  </mergeCells>
  <printOptions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0"/>
  <sheetViews>
    <sheetView view="pageBreakPreview" zoomScaleSheetLayoutView="100" zoomScalePageLayoutView="0" workbookViewId="0" topLeftCell="A10">
      <pane xSplit="4" topLeftCell="E1" activePane="topRight" state="frozen"/>
      <selection pane="topLeft" activeCell="Q23" sqref="Q23"/>
      <selection pane="topRight" activeCell="Q23" sqref="Q23"/>
    </sheetView>
  </sheetViews>
  <sheetFormatPr defaultColWidth="9.00390625" defaultRowHeight="12.75"/>
  <cols>
    <col min="1" max="1" width="9.125" style="223" customWidth="1"/>
    <col min="2" max="2" width="52.25390625" style="223" customWidth="1"/>
    <col min="3" max="3" width="15.875" style="223" customWidth="1"/>
    <col min="4" max="4" width="18.25390625" style="223" customWidth="1"/>
    <col min="5" max="7" width="16.25390625" style="223" customWidth="1"/>
    <col min="8" max="10" width="16.75390625" style="223" hidden="1" customWidth="1"/>
    <col min="11" max="11" width="18.00390625" style="223" hidden="1" customWidth="1"/>
    <col min="12" max="12" width="17.75390625" style="223" hidden="1" customWidth="1"/>
    <col min="13" max="13" width="17.125" style="223" hidden="1" customWidth="1"/>
    <col min="14" max="14" width="16.875" style="223" hidden="1" customWidth="1"/>
    <col min="15" max="15" width="15.25390625" style="223" hidden="1" customWidth="1"/>
    <col min="16" max="16" width="15.125" style="223" hidden="1" customWidth="1"/>
    <col min="17" max="17" width="14.25390625" style="225" hidden="1" customWidth="1"/>
    <col min="18" max="18" width="16.25390625" style="223" hidden="1" customWidth="1"/>
    <col min="19" max="19" width="9.125" style="223" hidden="1" customWidth="1"/>
    <col min="20" max="20" width="10.125" style="223" bestFit="1" customWidth="1"/>
    <col min="21" max="21" width="9.625" style="223" bestFit="1" customWidth="1"/>
    <col min="22" max="16384" width="9.125" style="223" customWidth="1"/>
  </cols>
  <sheetData>
    <row r="1" ht="11.25" customHeight="1">
      <c r="G1" s="224" t="s">
        <v>286</v>
      </c>
    </row>
    <row r="2" ht="9" customHeight="1">
      <c r="G2" s="224" t="s">
        <v>149</v>
      </c>
    </row>
    <row r="3" ht="9.75" customHeight="1">
      <c r="G3" s="224" t="s">
        <v>150</v>
      </c>
    </row>
    <row r="4" ht="9.75" customHeight="1">
      <c r="G4" s="224" t="s">
        <v>151</v>
      </c>
    </row>
    <row r="5" ht="9" customHeight="1">
      <c r="G5" s="224" t="s">
        <v>152</v>
      </c>
    </row>
    <row r="6" ht="10.5" customHeight="1">
      <c r="G6" s="224" t="s">
        <v>153</v>
      </c>
    </row>
    <row r="7" ht="9" customHeight="1">
      <c r="G7" s="224" t="s">
        <v>154</v>
      </c>
    </row>
    <row r="8" ht="9.75" customHeight="1">
      <c r="G8" s="224" t="s">
        <v>155</v>
      </c>
    </row>
    <row r="9" ht="9" customHeight="1">
      <c r="G9" s="224" t="s">
        <v>156</v>
      </c>
    </row>
    <row r="10" ht="9.75" customHeight="1">
      <c r="G10" s="224" t="s">
        <v>157</v>
      </c>
    </row>
    <row r="11" spans="2:17" s="226" customFormat="1" ht="15.75">
      <c r="B11" s="227"/>
      <c r="C11" s="228" t="s">
        <v>287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Q11" s="229"/>
    </row>
    <row r="12" spans="2:17" s="226" customFormat="1" ht="15.75">
      <c r="B12" s="227"/>
      <c r="C12" s="228" t="s">
        <v>288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Q12" s="229"/>
    </row>
    <row r="13" spans="1:17" s="226" customFormat="1" ht="33" customHeight="1">
      <c r="A13" s="639" t="s">
        <v>289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229"/>
    </row>
    <row r="14" spans="1:17" s="226" customFormat="1" ht="18.75" customHeight="1">
      <c r="A14" s="640" t="s">
        <v>350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229"/>
    </row>
    <row r="15" spans="1:17" s="226" customFormat="1" ht="15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29"/>
    </row>
    <row r="16" spans="2:17" s="226" customFormat="1" ht="15.75">
      <c r="B16" s="227"/>
      <c r="C16" s="228" t="s">
        <v>356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Q16" s="229"/>
    </row>
    <row r="17" spans="2:17" s="226" customFormat="1" ht="15.75">
      <c r="B17" s="227"/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Q17" s="229"/>
    </row>
    <row r="18" spans="1:17" s="226" customFormat="1" ht="17.25" customHeight="1">
      <c r="A18" s="231" t="s">
        <v>290</v>
      </c>
      <c r="B18" s="232"/>
      <c r="C18" s="359" t="s">
        <v>353</v>
      </c>
      <c r="D18" s="359"/>
      <c r="E18" s="233"/>
      <c r="F18" s="233"/>
      <c r="G18" s="233"/>
      <c r="H18" s="233"/>
      <c r="I18" s="233"/>
      <c r="J18" s="233"/>
      <c r="K18" s="233"/>
      <c r="L18" s="233"/>
      <c r="M18" s="233"/>
      <c r="Q18" s="229"/>
    </row>
    <row r="19" spans="2:17" s="226" customFormat="1" ht="12.75" customHeight="1" hidden="1">
      <c r="B19" s="234"/>
      <c r="C19" s="359"/>
      <c r="D19" s="359"/>
      <c r="Q19" s="229"/>
    </row>
    <row r="20" spans="2:17" s="226" customFormat="1" ht="12.75">
      <c r="B20" s="234"/>
      <c r="C20" s="359" t="s">
        <v>354</v>
      </c>
      <c r="D20" s="359"/>
      <c r="Q20" s="229"/>
    </row>
    <row r="21" spans="1:17" s="235" customFormat="1" ht="15">
      <c r="A21" s="235" t="s">
        <v>291</v>
      </c>
      <c r="C21" s="360"/>
      <c r="D21" s="360"/>
      <c r="Q21" s="236"/>
    </row>
    <row r="22" spans="1:17" s="235" customFormat="1" ht="15">
      <c r="A22" s="235" t="s">
        <v>292</v>
      </c>
      <c r="Q22" s="236"/>
    </row>
    <row r="24" spans="1:16" ht="39" customHeight="1">
      <c r="A24" s="641" t="s">
        <v>293</v>
      </c>
      <c r="B24" s="642"/>
      <c r="C24" s="239" t="s">
        <v>25</v>
      </c>
      <c r="D24" s="239" t="s">
        <v>294</v>
      </c>
      <c r="E24" s="641" t="s">
        <v>295</v>
      </c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2"/>
    </row>
    <row r="25" spans="1:16" ht="21.75" customHeight="1">
      <c r="A25" s="643" t="s">
        <v>296</v>
      </c>
      <c r="B25" s="644"/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5"/>
    </row>
    <row r="26" spans="1:19" ht="64.5" customHeight="1">
      <c r="A26" s="646" t="s">
        <v>297</v>
      </c>
      <c r="B26" s="647"/>
      <c r="C26" s="241" t="s">
        <v>174</v>
      </c>
      <c r="D26" s="242">
        <f>ROUND((E26+F26+G26+H26+I26+J26+K26+L26+M26+N26+O26+P26)/S26,0)</f>
        <v>152</v>
      </c>
      <c r="E26" s="242">
        <f aca="true" t="shared" si="0" ref="E26:M26">E27</f>
        <v>152</v>
      </c>
      <c r="F26" s="242">
        <f t="shared" si="0"/>
        <v>152</v>
      </c>
      <c r="G26" s="242">
        <v>152</v>
      </c>
      <c r="H26" s="242">
        <f t="shared" si="0"/>
        <v>0</v>
      </c>
      <c r="I26" s="242">
        <f t="shared" si="0"/>
        <v>0</v>
      </c>
      <c r="J26" s="242">
        <f t="shared" si="0"/>
        <v>0</v>
      </c>
      <c r="K26" s="242">
        <f t="shared" si="0"/>
        <v>0</v>
      </c>
      <c r="L26" s="242">
        <f t="shared" si="0"/>
        <v>0</v>
      </c>
      <c r="M26" s="242">
        <f t="shared" si="0"/>
        <v>0</v>
      </c>
      <c r="N26" s="242">
        <f>N27</f>
        <v>0</v>
      </c>
      <c r="O26" s="242">
        <f>O27</f>
        <v>0</v>
      </c>
      <c r="P26" s="242">
        <f>P27</f>
        <v>0</v>
      </c>
      <c r="S26" s="223">
        <f>COUNTIF(E26:P26,"&gt;0")</f>
        <v>3</v>
      </c>
    </row>
    <row r="27" spans="1:19" ht="12.75">
      <c r="A27" s="646" t="s">
        <v>298</v>
      </c>
      <c r="B27" s="647"/>
      <c r="C27" s="241" t="s">
        <v>174</v>
      </c>
      <c r="D27" s="242">
        <f>ROUND((E27+F27+G27+H27+I27+J27+K27+L27+M27+N27+O27+P27)/S27,0)</f>
        <v>152</v>
      </c>
      <c r="E27" s="242">
        <f>'[2]мун.задание'!D69</f>
        <v>152</v>
      </c>
      <c r="F27" s="242">
        <f>'[2]мун.задание'!E69</f>
        <v>152</v>
      </c>
      <c r="G27" s="242">
        <v>152</v>
      </c>
      <c r="H27" s="242"/>
      <c r="I27" s="242"/>
      <c r="J27" s="242"/>
      <c r="K27" s="242"/>
      <c r="L27" s="242"/>
      <c r="M27" s="242"/>
      <c r="N27" s="242"/>
      <c r="O27" s="242"/>
      <c r="P27" s="242"/>
      <c r="S27" s="223">
        <f>COUNTIF(E27:P27,"&gt;0")</f>
        <v>3</v>
      </c>
    </row>
    <row r="28" spans="1:19" ht="15" customHeight="1">
      <c r="A28" s="646" t="s">
        <v>299</v>
      </c>
      <c r="B28" s="647"/>
      <c r="C28" s="241" t="s">
        <v>174</v>
      </c>
      <c r="D28" s="242">
        <f>ROUND((E28+F28+G28+H28+I28+J28+K28+L28+M28+N28+O28+P28)/S28,0)</f>
        <v>152</v>
      </c>
      <c r="E28" s="242">
        <f>'[2]мун.задание'!D70</f>
        <v>152</v>
      </c>
      <c r="F28" s="242">
        <f>'[2]мун.задание'!E70</f>
        <v>152</v>
      </c>
      <c r="G28" s="242">
        <v>152</v>
      </c>
      <c r="H28" s="242"/>
      <c r="I28" s="242"/>
      <c r="J28" s="242"/>
      <c r="K28" s="242"/>
      <c r="L28" s="242"/>
      <c r="M28" s="242"/>
      <c r="N28" s="242"/>
      <c r="O28" s="242"/>
      <c r="P28" s="242"/>
      <c r="S28" s="223">
        <f>COUNTIF(E28:P28,"&gt;0")</f>
        <v>3</v>
      </c>
    </row>
    <row r="29" spans="1:19" ht="15" customHeight="1">
      <c r="A29" s="646" t="s">
        <v>300</v>
      </c>
      <c r="B29" s="647"/>
      <c r="C29" s="241" t="s">
        <v>174</v>
      </c>
      <c r="D29" s="242">
        <f>ROUND((E29+F29+G29+H29+I29+J29+K29+L29+M29+N29+O29+P29)/S29,0)</f>
        <v>152</v>
      </c>
      <c r="E29" s="242">
        <f>'[2]мун.задание'!D71</f>
        <v>152</v>
      </c>
      <c r="F29" s="242">
        <f>'[2]мун.задание'!E71</f>
        <v>152</v>
      </c>
      <c r="G29" s="242">
        <v>152</v>
      </c>
      <c r="H29" s="242"/>
      <c r="I29" s="242"/>
      <c r="J29" s="242"/>
      <c r="K29" s="242"/>
      <c r="L29" s="242"/>
      <c r="M29" s="242"/>
      <c r="N29" s="242"/>
      <c r="O29" s="242"/>
      <c r="P29" s="242"/>
      <c r="S29" s="223">
        <f>COUNTIF(E29:P29,"&gt;0")</f>
        <v>3</v>
      </c>
    </row>
    <row r="30" spans="1:16" ht="22.5" customHeight="1">
      <c r="A30" s="643" t="s">
        <v>301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5"/>
    </row>
    <row r="31" spans="1:19" ht="63" customHeight="1">
      <c r="A31" s="646" t="s">
        <v>302</v>
      </c>
      <c r="B31" s="647"/>
      <c r="C31" s="241" t="s">
        <v>174</v>
      </c>
      <c r="D31" s="242">
        <f>ROUND((E31+F31+G31+H31+I31+J31+K31+L31+M31+N31+O31+P31)/S31,0)</f>
        <v>152</v>
      </c>
      <c r="E31" s="242">
        <f aca="true" t="shared" si="1" ref="E31:P31">E32</f>
        <v>152</v>
      </c>
      <c r="F31" s="242">
        <f t="shared" si="1"/>
        <v>152</v>
      </c>
      <c r="G31" s="242">
        <f t="shared" si="1"/>
        <v>152</v>
      </c>
      <c r="H31" s="242">
        <f t="shared" si="1"/>
        <v>0</v>
      </c>
      <c r="I31" s="242">
        <f t="shared" si="1"/>
        <v>0</v>
      </c>
      <c r="J31" s="242">
        <f t="shared" si="1"/>
        <v>0</v>
      </c>
      <c r="K31" s="242">
        <f t="shared" si="1"/>
        <v>0</v>
      </c>
      <c r="L31" s="242">
        <f t="shared" si="1"/>
        <v>0</v>
      </c>
      <c r="M31" s="242">
        <f t="shared" si="1"/>
        <v>0</v>
      </c>
      <c r="N31" s="242">
        <f t="shared" si="1"/>
        <v>0</v>
      </c>
      <c r="O31" s="242">
        <f t="shared" si="1"/>
        <v>0</v>
      </c>
      <c r="P31" s="242">
        <f t="shared" si="1"/>
        <v>0</v>
      </c>
      <c r="S31" s="223">
        <f>COUNTIF(E31:P31,"&gt;0")</f>
        <v>3</v>
      </c>
    </row>
    <row r="32" spans="1:19" ht="12.75">
      <c r="A32" s="646" t="s">
        <v>298</v>
      </c>
      <c r="B32" s="647"/>
      <c r="C32" s="241" t="s">
        <v>174</v>
      </c>
      <c r="D32" s="242">
        <f>ROUND((E32+F32+G32+H32+I32+J32+K32+L32+M32+N32+O32+P32)/S32,0)</f>
        <v>152</v>
      </c>
      <c r="E32" s="242">
        <f>E27</f>
        <v>152</v>
      </c>
      <c r="F32" s="242">
        <f aca="true" t="shared" si="2" ref="F32:P32">F27</f>
        <v>152</v>
      </c>
      <c r="G32" s="242">
        <f t="shared" si="2"/>
        <v>152</v>
      </c>
      <c r="H32" s="242">
        <f t="shared" si="2"/>
        <v>0</v>
      </c>
      <c r="I32" s="242">
        <f t="shared" si="2"/>
        <v>0</v>
      </c>
      <c r="J32" s="242">
        <f t="shared" si="2"/>
        <v>0</v>
      </c>
      <c r="K32" s="242">
        <f t="shared" si="2"/>
        <v>0</v>
      </c>
      <c r="L32" s="242">
        <f t="shared" si="2"/>
        <v>0</v>
      </c>
      <c r="M32" s="242">
        <f t="shared" si="2"/>
        <v>0</v>
      </c>
      <c r="N32" s="242">
        <f t="shared" si="2"/>
        <v>0</v>
      </c>
      <c r="O32" s="242">
        <f t="shared" si="2"/>
        <v>0</v>
      </c>
      <c r="P32" s="242">
        <f t="shared" si="2"/>
        <v>0</v>
      </c>
      <c r="S32" s="223">
        <f>COUNTIF(E32:P32,"&gt;0")</f>
        <v>3</v>
      </c>
    </row>
    <row r="33" spans="1:19" ht="13.5" customHeight="1">
      <c r="A33" s="646" t="s">
        <v>299</v>
      </c>
      <c r="B33" s="647"/>
      <c r="C33" s="241" t="s">
        <v>174</v>
      </c>
      <c r="D33" s="242">
        <f>ROUND((E33+F33+G33+H33+I33+J33+K33+L33+M33+N33+O33+P33)/S33,0)</f>
        <v>152</v>
      </c>
      <c r="E33" s="242">
        <f aca="true" t="shared" si="3" ref="E33:P34">E28</f>
        <v>152</v>
      </c>
      <c r="F33" s="242">
        <f t="shared" si="3"/>
        <v>152</v>
      </c>
      <c r="G33" s="242">
        <f t="shared" si="3"/>
        <v>152</v>
      </c>
      <c r="H33" s="242">
        <f t="shared" si="3"/>
        <v>0</v>
      </c>
      <c r="I33" s="242">
        <f t="shared" si="3"/>
        <v>0</v>
      </c>
      <c r="J33" s="242">
        <f t="shared" si="3"/>
        <v>0</v>
      </c>
      <c r="K33" s="242">
        <f t="shared" si="3"/>
        <v>0</v>
      </c>
      <c r="L33" s="242">
        <f t="shared" si="3"/>
        <v>0</v>
      </c>
      <c r="M33" s="242">
        <f t="shared" si="3"/>
        <v>0</v>
      </c>
      <c r="N33" s="242">
        <f t="shared" si="3"/>
        <v>0</v>
      </c>
      <c r="O33" s="242">
        <f t="shared" si="3"/>
        <v>0</v>
      </c>
      <c r="P33" s="242">
        <f t="shared" si="3"/>
        <v>0</v>
      </c>
      <c r="S33" s="223">
        <f>COUNTIF(E33:P33,"&gt;0")</f>
        <v>3</v>
      </c>
    </row>
    <row r="34" spans="1:19" ht="13.5" customHeight="1">
      <c r="A34" s="646" t="s">
        <v>300</v>
      </c>
      <c r="B34" s="647"/>
      <c r="C34" s="241" t="s">
        <v>174</v>
      </c>
      <c r="D34" s="242">
        <f>ROUND((E34+F34+G34+H34+I34+J34+K34+L34+M34+N34+O34+P34)/S34,0)</f>
        <v>152</v>
      </c>
      <c r="E34" s="242">
        <f t="shared" si="3"/>
        <v>152</v>
      </c>
      <c r="F34" s="242">
        <f t="shared" si="3"/>
        <v>152</v>
      </c>
      <c r="G34" s="242">
        <f t="shared" si="3"/>
        <v>152</v>
      </c>
      <c r="H34" s="242">
        <f t="shared" si="3"/>
        <v>0</v>
      </c>
      <c r="I34" s="242">
        <f t="shared" si="3"/>
        <v>0</v>
      </c>
      <c r="J34" s="242">
        <f t="shared" si="3"/>
        <v>0</v>
      </c>
      <c r="K34" s="242">
        <f t="shared" si="3"/>
        <v>0</v>
      </c>
      <c r="L34" s="242">
        <f t="shared" si="3"/>
        <v>0</v>
      </c>
      <c r="M34" s="242">
        <f t="shared" si="3"/>
        <v>0</v>
      </c>
      <c r="N34" s="242">
        <f t="shared" si="3"/>
        <v>0</v>
      </c>
      <c r="O34" s="242">
        <f t="shared" si="3"/>
        <v>0</v>
      </c>
      <c r="P34" s="242">
        <f t="shared" si="3"/>
        <v>0</v>
      </c>
      <c r="S34" s="223">
        <f>COUNTIF(E34:P34,"&gt;0")</f>
        <v>3</v>
      </c>
    </row>
    <row r="38" spans="1:17" s="235" customFormat="1" ht="15">
      <c r="A38" s="235" t="s">
        <v>303</v>
      </c>
      <c r="Q38" s="236"/>
    </row>
    <row r="40" spans="1:16" ht="31.5" customHeight="1">
      <c r="A40" s="641" t="s">
        <v>293</v>
      </c>
      <c r="B40" s="642"/>
      <c r="C40" s="641" t="s">
        <v>304</v>
      </c>
      <c r="D40" s="642"/>
      <c r="E40" s="238"/>
      <c r="F40" s="238"/>
      <c r="G40" s="238"/>
      <c r="H40" s="238"/>
      <c r="I40" s="238"/>
      <c r="J40" s="238"/>
      <c r="K40" s="238"/>
      <c r="L40" s="238"/>
      <c r="M40" s="238"/>
      <c r="N40" s="641" t="s">
        <v>305</v>
      </c>
      <c r="O40" s="648"/>
      <c r="P40" s="642"/>
    </row>
    <row r="41" spans="1:16" ht="19.5" customHeight="1">
      <c r="A41" s="643" t="s">
        <v>296</v>
      </c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5"/>
    </row>
    <row r="42" spans="1:20" ht="67.5" customHeight="1">
      <c r="A42" s="649" t="s">
        <v>306</v>
      </c>
      <c r="B42" s="650"/>
      <c r="C42" s="651">
        <f>C43+C46</f>
        <v>9414.59829</v>
      </c>
      <c r="D42" s="652"/>
      <c r="E42" s="283">
        <f>E43+E46</f>
        <v>2394.9598400000004</v>
      </c>
      <c r="F42" s="283">
        <f aca="true" t="shared" si="4" ref="F42:P42">F43+F46</f>
        <v>2172.8391</v>
      </c>
      <c r="G42" s="283">
        <f t="shared" si="4"/>
        <v>845.55913</v>
      </c>
      <c r="H42" s="283">
        <f t="shared" si="4"/>
        <v>0</v>
      </c>
      <c r="I42" s="283">
        <f t="shared" si="4"/>
        <v>0</v>
      </c>
      <c r="J42" s="283">
        <f t="shared" si="4"/>
        <v>0</v>
      </c>
      <c r="K42" s="283">
        <f t="shared" si="4"/>
        <v>0</v>
      </c>
      <c r="L42" s="283">
        <f t="shared" si="4"/>
        <v>0</v>
      </c>
      <c r="M42" s="283">
        <f t="shared" si="4"/>
        <v>0</v>
      </c>
      <c r="N42" s="283">
        <f t="shared" si="4"/>
        <v>0</v>
      </c>
      <c r="O42" s="283">
        <f t="shared" si="4"/>
        <v>0</v>
      </c>
      <c r="P42" s="283">
        <f t="shared" si="4"/>
        <v>0</v>
      </c>
      <c r="Q42" s="243">
        <f>Q43+Q46</f>
        <v>0</v>
      </c>
      <c r="R42" s="243">
        <f>R43+R46</f>
        <v>0</v>
      </c>
      <c r="T42" s="262">
        <f>C42-C58</f>
        <v>35.83165000000008</v>
      </c>
    </row>
    <row r="43" spans="1:20" s="245" customFormat="1" ht="67.5" customHeight="1">
      <c r="A43" s="653" t="s">
        <v>307</v>
      </c>
      <c r="B43" s="654"/>
      <c r="C43" s="655">
        <f>SUM(C44:D45)</f>
        <v>9206.51429</v>
      </c>
      <c r="D43" s="656"/>
      <c r="E43" s="365">
        <f>SUM(E44:E45)</f>
        <v>2376.9598400000004</v>
      </c>
      <c r="F43" s="365">
        <f aca="true" t="shared" si="5" ref="F43:M43">SUM(F44:F45)</f>
        <v>2172.8391</v>
      </c>
      <c r="G43" s="365">
        <f t="shared" si="5"/>
        <v>759.51713</v>
      </c>
      <c r="H43" s="365">
        <f t="shared" si="5"/>
        <v>0</v>
      </c>
      <c r="I43" s="365">
        <f t="shared" si="5"/>
        <v>0</v>
      </c>
      <c r="J43" s="365">
        <f t="shared" si="5"/>
        <v>0</v>
      </c>
      <c r="K43" s="365">
        <f t="shared" si="5"/>
        <v>0</v>
      </c>
      <c r="L43" s="365">
        <f t="shared" si="5"/>
        <v>0</v>
      </c>
      <c r="M43" s="365">
        <f t="shared" si="5"/>
        <v>0</v>
      </c>
      <c r="N43" s="365">
        <f>SUM(N44:N45)</f>
        <v>0</v>
      </c>
      <c r="O43" s="365">
        <f>SUM(O44:O45)</f>
        <v>0</v>
      </c>
      <c r="P43" s="365">
        <f>SUM(P44:P45)</f>
        <v>0</v>
      </c>
      <c r="Q43" s="244"/>
      <c r="T43" s="262">
        <f aca="true" t="shared" si="6" ref="T43:T56">C43-C59</f>
        <v>35.712649999999485</v>
      </c>
    </row>
    <row r="44" spans="1:20" ht="15.75" customHeight="1">
      <c r="A44" s="646" t="s">
        <v>298</v>
      </c>
      <c r="B44" s="647"/>
      <c r="C44" s="657">
        <f>SUM(E44:P44)+'[2]отчет1433-1'!C44:D44</f>
        <v>3675.64769</v>
      </c>
      <c r="D44" s="658"/>
      <c r="E44" s="246">
        <f>'[2]вспомогательная таблица'!G17/1000</f>
        <v>566.95</v>
      </c>
      <c r="F44" s="246">
        <f>'[2]вспомогательная таблица'!H17/1000</f>
        <v>726.47031</v>
      </c>
      <c r="G44" s="246">
        <f>'[2]вспомогательная таблица'!I17/1000</f>
        <v>352.21638</v>
      </c>
      <c r="H44" s="246"/>
      <c r="I44" s="246"/>
      <c r="J44" s="246"/>
      <c r="K44" s="246"/>
      <c r="L44" s="246"/>
      <c r="M44" s="246"/>
      <c r="N44" s="247"/>
      <c r="O44" s="247"/>
      <c r="P44" s="247"/>
      <c r="T44" s="262">
        <f t="shared" si="6"/>
        <v>-1349.6187100000006</v>
      </c>
    </row>
    <row r="45" spans="1:20" ht="15" customHeight="1">
      <c r="A45" s="646" t="s">
        <v>308</v>
      </c>
      <c r="B45" s="647"/>
      <c r="C45" s="657">
        <f>SUM(E45:P45)+'[2]отчет1433-1'!C45:D45</f>
        <v>5530.8666</v>
      </c>
      <c r="D45" s="658"/>
      <c r="E45" s="246">
        <f>'[2]вспомогательная таблица'!G18/1000</f>
        <v>1810.0098400000002</v>
      </c>
      <c r="F45" s="246">
        <f>'[2]вспомогательная таблица'!H18/1000</f>
        <v>1446.36879</v>
      </c>
      <c r="G45" s="246">
        <f>'[2]вспомогательная таблица'!I18/1000</f>
        <v>407.30075</v>
      </c>
      <c r="H45" s="246"/>
      <c r="I45" s="246"/>
      <c r="J45" s="246"/>
      <c r="K45" s="246"/>
      <c r="L45" s="246"/>
      <c r="M45" s="246"/>
      <c r="N45" s="248"/>
      <c r="O45" s="248"/>
      <c r="P45" s="248"/>
      <c r="T45" s="262">
        <f t="shared" si="6"/>
        <v>1385.331360000001</v>
      </c>
    </row>
    <row r="46" spans="1:20" s="245" customFormat="1" ht="68.25" customHeight="1">
      <c r="A46" s="653" t="s">
        <v>309</v>
      </c>
      <c r="B46" s="654"/>
      <c r="C46" s="655">
        <f>C47</f>
        <v>208.084</v>
      </c>
      <c r="D46" s="656"/>
      <c r="E46" s="365">
        <f aca="true" t="shared" si="7" ref="E46:P46">E47</f>
        <v>18</v>
      </c>
      <c r="F46" s="365">
        <f t="shared" si="7"/>
        <v>0</v>
      </c>
      <c r="G46" s="365">
        <f t="shared" si="7"/>
        <v>86.042</v>
      </c>
      <c r="H46" s="365">
        <f t="shared" si="7"/>
        <v>0</v>
      </c>
      <c r="I46" s="365">
        <f t="shared" si="7"/>
        <v>0</v>
      </c>
      <c r="J46" s="365">
        <f t="shared" si="7"/>
        <v>0</v>
      </c>
      <c r="K46" s="365">
        <f t="shared" si="7"/>
        <v>0</v>
      </c>
      <c r="L46" s="365">
        <f t="shared" si="7"/>
        <v>0</v>
      </c>
      <c r="M46" s="365">
        <f t="shared" si="7"/>
        <v>0</v>
      </c>
      <c r="N46" s="365">
        <f t="shared" si="7"/>
        <v>0</v>
      </c>
      <c r="O46" s="365">
        <f t="shared" si="7"/>
        <v>0</v>
      </c>
      <c r="P46" s="365">
        <f t="shared" si="7"/>
        <v>0</v>
      </c>
      <c r="Q46" s="244"/>
      <c r="T46" s="262">
        <f t="shared" si="6"/>
        <v>0.11899999999999977</v>
      </c>
    </row>
    <row r="47" spans="1:20" ht="15" customHeight="1">
      <c r="A47" s="646" t="s">
        <v>300</v>
      </c>
      <c r="B47" s="647"/>
      <c r="C47" s="657">
        <f>SUM(E47:P47)+'[2]отчет1433-1'!C47:D47</f>
        <v>208.084</v>
      </c>
      <c r="D47" s="658"/>
      <c r="E47" s="246">
        <f>'[2]вспомогательная таблица'!G19/1000</f>
        <v>18</v>
      </c>
      <c r="F47" s="246">
        <f>'[2]вспомогательная таблица'!D19/1000</f>
        <v>0</v>
      </c>
      <c r="G47" s="246">
        <f>'[2]вспомогательная таблица'!I19/1000</f>
        <v>86.042</v>
      </c>
      <c r="H47" s="246"/>
      <c r="I47" s="246"/>
      <c r="J47" s="246"/>
      <c r="K47" s="246"/>
      <c r="L47" s="246"/>
      <c r="M47" s="246"/>
      <c r="N47" s="251"/>
      <c r="O47" s="251"/>
      <c r="P47" s="251"/>
      <c r="T47" s="262">
        <f t="shared" si="6"/>
        <v>0.11899999999999977</v>
      </c>
    </row>
    <row r="48" spans="1:20" s="245" customFormat="1" ht="65.25" customHeight="1">
      <c r="A48" s="653" t="s">
        <v>310</v>
      </c>
      <c r="B48" s="654"/>
      <c r="C48" s="659">
        <f>SUM(C49:D56)</f>
        <v>94.873</v>
      </c>
      <c r="D48" s="660"/>
      <c r="E48" s="364">
        <f>SUM(E49:E56)</f>
        <v>64.798</v>
      </c>
      <c r="F48" s="364">
        <f>SUM(F49:F56)</f>
        <v>0</v>
      </c>
      <c r="G48" s="364">
        <f>SUM(E49:E56)</f>
        <v>64.798</v>
      </c>
      <c r="H48" s="364">
        <f aca="true" t="shared" si="8" ref="H48:P48">SUM(H49:H56)</f>
        <v>0</v>
      </c>
      <c r="I48" s="364">
        <f t="shared" si="8"/>
        <v>0</v>
      </c>
      <c r="J48" s="364">
        <f t="shared" si="8"/>
        <v>0</v>
      </c>
      <c r="K48" s="364">
        <f t="shared" si="8"/>
        <v>0</v>
      </c>
      <c r="L48" s="364">
        <f t="shared" si="8"/>
        <v>0</v>
      </c>
      <c r="M48" s="364">
        <f t="shared" si="8"/>
        <v>0</v>
      </c>
      <c r="N48" s="364">
        <f t="shared" si="8"/>
        <v>0</v>
      </c>
      <c r="O48" s="364">
        <f t="shared" si="8"/>
        <v>0</v>
      </c>
      <c r="P48" s="364">
        <f t="shared" si="8"/>
        <v>0</v>
      </c>
      <c r="Q48" s="244"/>
      <c r="T48" s="262">
        <f t="shared" si="6"/>
        <v>9.61</v>
      </c>
    </row>
    <row r="49" spans="1:20" ht="27" customHeight="1">
      <c r="A49" s="646" t="s">
        <v>311</v>
      </c>
      <c r="B49" s="647"/>
      <c r="C49" s="657">
        <f aca="true" t="shared" si="9" ref="C49:C55">SUM(E49:P49)</f>
        <v>0</v>
      </c>
      <c r="D49" s="658"/>
      <c r="E49" s="246"/>
      <c r="F49" s="246"/>
      <c r="G49" s="246"/>
      <c r="H49" s="246"/>
      <c r="I49" s="246"/>
      <c r="J49" s="246"/>
      <c r="K49" s="246"/>
      <c r="L49" s="246"/>
      <c r="M49" s="246"/>
      <c r="N49" s="251"/>
      <c r="O49" s="251"/>
      <c r="P49" s="251"/>
      <c r="T49" s="262">
        <f t="shared" si="6"/>
        <v>0</v>
      </c>
    </row>
    <row r="50" spans="1:20" ht="27.75" customHeight="1">
      <c r="A50" s="646" t="s">
        <v>223</v>
      </c>
      <c r="B50" s="647"/>
      <c r="C50" s="657">
        <f t="shared" si="9"/>
        <v>0</v>
      </c>
      <c r="D50" s="658"/>
      <c r="E50" s="246"/>
      <c r="F50" s="246"/>
      <c r="G50" s="246"/>
      <c r="H50" s="246"/>
      <c r="I50" s="246"/>
      <c r="J50" s="246"/>
      <c r="K50" s="246"/>
      <c r="L50" s="246"/>
      <c r="M50" s="246"/>
      <c r="N50" s="251"/>
      <c r="O50" s="251"/>
      <c r="P50" s="251"/>
      <c r="T50" s="262">
        <f t="shared" si="6"/>
        <v>0</v>
      </c>
    </row>
    <row r="51" spans="1:20" ht="26.25" customHeight="1">
      <c r="A51" s="646" t="s">
        <v>224</v>
      </c>
      <c r="B51" s="647"/>
      <c r="C51" s="657">
        <f t="shared" si="9"/>
        <v>0</v>
      </c>
      <c r="D51" s="658"/>
      <c r="E51" s="246"/>
      <c r="F51" s="246"/>
      <c r="G51" s="246"/>
      <c r="H51" s="246"/>
      <c r="I51" s="246"/>
      <c r="J51" s="246"/>
      <c r="K51" s="246"/>
      <c r="L51" s="246"/>
      <c r="M51" s="246"/>
      <c r="N51" s="251"/>
      <c r="O51" s="251"/>
      <c r="P51" s="251"/>
      <c r="T51" s="262">
        <f t="shared" si="6"/>
        <v>0</v>
      </c>
    </row>
    <row r="52" spans="1:20" ht="52.5" customHeight="1">
      <c r="A52" s="646" t="s">
        <v>225</v>
      </c>
      <c r="B52" s="647"/>
      <c r="C52" s="657">
        <f>SUM(E52:P52)</f>
        <v>0</v>
      </c>
      <c r="D52" s="658"/>
      <c r="E52" s="246"/>
      <c r="F52" s="246"/>
      <c r="G52" s="246"/>
      <c r="H52" s="246"/>
      <c r="I52" s="246"/>
      <c r="J52" s="246"/>
      <c r="K52" s="246"/>
      <c r="L52" s="246"/>
      <c r="M52" s="246"/>
      <c r="N52" s="251"/>
      <c r="O52" s="251"/>
      <c r="P52" s="251"/>
      <c r="T52" s="262">
        <f t="shared" si="6"/>
        <v>0</v>
      </c>
    </row>
    <row r="53" spans="1:20" ht="30" customHeight="1">
      <c r="A53" s="646" t="s">
        <v>312</v>
      </c>
      <c r="B53" s="647"/>
      <c r="C53" s="657">
        <f t="shared" si="9"/>
        <v>0</v>
      </c>
      <c r="D53" s="658"/>
      <c r="E53" s="246"/>
      <c r="F53" s="246"/>
      <c r="G53" s="246"/>
      <c r="H53" s="246"/>
      <c r="I53" s="246"/>
      <c r="J53" s="246"/>
      <c r="K53" s="246"/>
      <c r="L53" s="246"/>
      <c r="M53" s="246"/>
      <c r="N53" s="251"/>
      <c r="O53" s="251"/>
      <c r="P53" s="251"/>
      <c r="T53" s="262">
        <f t="shared" si="6"/>
        <v>0</v>
      </c>
    </row>
    <row r="54" spans="1:20" ht="15" customHeight="1">
      <c r="A54" s="646" t="s">
        <v>226</v>
      </c>
      <c r="B54" s="647"/>
      <c r="C54" s="657">
        <f t="shared" si="9"/>
        <v>0</v>
      </c>
      <c r="D54" s="658"/>
      <c r="E54" s="246">
        <f>'[2]мун.задание'!D135/1000</f>
        <v>0</v>
      </c>
      <c r="F54" s="246">
        <f>'[2]мун.задание'!E135/1000</f>
        <v>0</v>
      </c>
      <c r="G54" s="246">
        <f>'[2]мун.задание'!F135/1000</f>
        <v>0</v>
      </c>
      <c r="H54" s="246"/>
      <c r="I54" s="246"/>
      <c r="J54" s="246"/>
      <c r="K54" s="246"/>
      <c r="L54" s="246"/>
      <c r="M54" s="246"/>
      <c r="N54" s="251"/>
      <c r="O54" s="251"/>
      <c r="P54" s="251"/>
      <c r="T54" s="262">
        <f t="shared" si="6"/>
        <v>0</v>
      </c>
    </row>
    <row r="55" spans="1:20" ht="27.75" customHeight="1">
      <c r="A55" s="646" t="s">
        <v>227</v>
      </c>
      <c r="B55" s="647"/>
      <c r="C55" s="657">
        <f t="shared" si="9"/>
        <v>0</v>
      </c>
      <c r="D55" s="658"/>
      <c r="E55" s="246"/>
      <c r="F55" s="246"/>
      <c r="G55" s="246"/>
      <c r="H55" s="246"/>
      <c r="I55" s="246"/>
      <c r="J55" s="246"/>
      <c r="K55" s="246"/>
      <c r="L55" s="246"/>
      <c r="M55" s="246"/>
      <c r="N55" s="251"/>
      <c r="O55" s="251"/>
      <c r="P55" s="251"/>
      <c r="T55" s="262">
        <f t="shared" si="6"/>
        <v>0</v>
      </c>
    </row>
    <row r="56" spans="1:20" ht="30.75" customHeight="1">
      <c r="A56" s="646" t="s">
        <v>228</v>
      </c>
      <c r="B56" s="647"/>
      <c r="C56" s="657">
        <f>SUM(E56:P56)+'[2]отчет1433-1'!C56:D56</f>
        <v>94.873</v>
      </c>
      <c r="D56" s="658"/>
      <c r="E56" s="246">
        <f>'[2]мун.задание'!G138/1000</f>
        <v>64.798</v>
      </c>
      <c r="F56" s="246">
        <f>'[2]мун.задание'!H138/1000</f>
        <v>0</v>
      </c>
      <c r="G56" s="246">
        <f>'[2]мун.задание'!I138/1000</f>
        <v>0</v>
      </c>
      <c r="H56" s="246"/>
      <c r="I56" s="246"/>
      <c r="J56" s="246"/>
      <c r="K56" s="246"/>
      <c r="L56" s="246"/>
      <c r="M56" s="246"/>
      <c r="N56" s="251"/>
      <c r="O56" s="251"/>
      <c r="P56" s="251"/>
      <c r="T56" s="262">
        <f t="shared" si="6"/>
        <v>9.61</v>
      </c>
    </row>
    <row r="57" spans="1:20" ht="21.75" customHeight="1">
      <c r="A57" s="643" t="s">
        <v>301</v>
      </c>
      <c r="B57" s="644"/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5"/>
      <c r="T57" s="249"/>
    </row>
    <row r="58" spans="1:20" s="253" customFormat="1" ht="54.75" customHeight="1">
      <c r="A58" s="649" t="s">
        <v>306</v>
      </c>
      <c r="B58" s="650"/>
      <c r="C58" s="651">
        <f>C59+C62</f>
        <v>9378.76664</v>
      </c>
      <c r="D58" s="652"/>
      <c r="E58" s="283">
        <f aca="true" t="shared" si="10" ref="E58:P58">E59+E62</f>
        <v>2137.89644</v>
      </c>
      <c r="F58" s="283">
        <f t="shared" si="10"/>
        <v>1781.7428599999998</v>
      </c>
      <c r="G58" s="283">
        <f t="shared" si="10"/>
        <v>1457.8871199999999</v>
      </c>
      <c r="H58" s="283">
        <f t="shared" si="10"/>
        <v>0</v>
      </c>
      <c r="I58" s="283">
        <f t="shared" si="10"/>
        <v>0</v>
      </c>
      <c r="J58" s="283">
        <f t="shared" si="10"/>
        <v>0</v>
      </c>
      <c r="K58" s="283">
        <f t="shared" si="10"/>
        <v>0</v>
      </c>
      <c r="L58" s="283">
        <f t="shared" si="10"/>
        <v>0</v>
      </c>
      <c r="M58" s="283">
        <f t="shared" si="10"/>
        <v>0</v>
      </c>
      <c r="N58" s="283">
        <f t="shared" si="10"/>
        <v>0</v>
      </c>
      <c r="O58" s="283">
        <f t="shared" si="10"/>
        <v>0</v>
      </c>
      <c r="P58" s="283">
        <f t="shared" si="10"/>
        <v>0</v>
      </c>
      <c r="Q58" s="252"/>
      <c r="T58" s="254"/>
    </row>
    <row r="59" spans="1:20" ht="51.75" customHeight="1">
      <c r="A59" s="653" t="s">
        <v>307</v>
      </c>
      <c r="B59" s="654"/>
      <c r="C59" s="655">
        <f>SUM(C60:D61)</f>
        <v>9170.80164</v>
      </c>
      <c r="D59" s="656"/>
      <c r="E59" s="365">
        <f aca="true" t="shared" si="11" ref="E59:P59">SUM(E60:E61)</f>
        <v>2120.09144</v>
      </c>
      <c r="F59" s="365">
        <f t="shared" si="11"/>
        <v>1695.62486</v>
      </c>
      <c r="G59" s="365">
        <f t="shared" si="11"/>
        <v>1457.8871199999999</v>
      </c>
      <c r="H59" s="365">
        <f t="shared" si="11"/>
        <v>0</v>
      </c>
      <c r="I59" s="365">
        <f t="shared" si="11"/>
        <v>0</v>
      </c>
      <c r="J59" s="365">
        <f t="shared" si="11"/>
        <v>0</v>
      </c>
      <c r="K59" s="365">
        <f t="shared" si="11"/>
        <v>0</v>
      </c>
      <c r="L59" s="365">
        <f t="shared" si="11"/>
        <v>0</v>
      </c>
      <c r="M59" s="365">
        <f t="shared" si="11"/>
        <v>0</v>
      </c>
      <c r="N59" s="365">
        <f t="shared" si="11"/>
        <v>0</v>
      </c>
      <c r="O59" s="365">
        <f t="shared" si="11"/>
        <v>0</v>
      </c>
      <c r="P59" s="365">
        <f t="shared" si="11"/>
        <v>0</v>
      </c>
      <c r="T59" s="249"/>
    </row>
    <row r="60" spans="1:20" ht="12.75">
      <c r="A60" s="646" t="s">
        <v>298</v>
      </c>
      <c r="B60" s="647"/>
      <c r="C60" s="657">
        <f>SUM(E60:P60)+'[2]отчет1433-1'!C60:D60</f>
        <v>5025.2664</v>
      </c>
      <c r="D60" s="658"/>
      <c r="E60" s="246">
        <f>'[2]касса'!G17/1000</f>
        <v>1177.2754</v>
      </c>
      <c r="F60" s="246">
        <f>'[2]касса'!H17/1000</f>
        <v>970.266</v>
      </c>
      <c r="G60" s="246">
        <f>'[2]касса'!I17/1000</f>
        <v>660.274</v>
      </c>
      <c r="H60" s="246"/>
      <c r="I60" s="246"/>
      <c r="J60" s="246"/>
      <c r="K60" s="246"/>
      <c r="L60" s="246"/>
      <c r="M60" s="246"/>
      <c r="N60" s="247"/>
      <c r="O60" s="247"/>
      <c r="P60" s="247"/>
      <c r="T60" s="249"/>
    </row>
    <row r="61" spans="1:20" ht="12.75">
      <c r="A61" s="646" t="s">
        <v>308</v>
      </c>
      <c r="B61" s="647"/>
      <c r="C61" s="657">
        <f>SUM(E61:P61)+'[2]отчет1433-1'!C61:D61</f>
        <v>4145.535239999999</v>
      </c>
      <c r="D61" s="658"/>
      <c r="E61" s="246">
        <f>'[2]касса'!G18/1000</f>
        <v>942.8160399999999</v>
      </c>
      <c r="F61" s="246">
        <f>'[2]касса'!H18/1000</f>
        <v>725.3588599999999</v>
      </c>
      <c r="G61" s="246">
        <f>'[2]касса'!I18/1000</f>
        <v>797.6131199999999</v>
      </c>
      <c r="H61" s="246"/>
      <c r="I61" s="246"/>
      <c r="J61" s="246"/>
      <c r="K61" s="246"/>
      <c r="L61" s="246"/>
      <c r="M61" s="246"/>
      <c r="N61" s="248"/>
      <c r="O61" s="248"/>
      <c r="P61" s="248"/>
      <c r="T61" s="249"/>
    </row>
    <row r="62" spans="1:21" ht="54" customHeight="1">
      <c r="A62" s="653" t="s">
        <v>309</v>
      </c>
      <c r="B62" s="654"/>
      <c r="C62" s="655">
        <f>C63</f>
        <v>207.965</v>
      </c>
      <c r="D62" s="656"/>
      <c r="E62" s="365">
        <f aca="true" t="shared" si="12" ref="E62:P62">E63</f>
        <v>17.805</v>
      </c>
      <c r="F62" s="365">
        <f t="shared" si="12"/>
        <v>86.118</v>
      </c>
      <c r="G62" s="365">
        <f t="shared" si="12"/>
        <v>0</v>
      </c>
      <c r="H62" s="365">
        <f t="shared" si="12"/>
        <v>0</v>
      </c>
      <c r="I62" s="365">
        <f t="shared" si="12"/>
        <v>0</v>
      </c>
      <c r="J62" s="365">
        <f t="shared" si="12"/>
        <v>0</v>
      </c>
      <c r="K62" s="365">
        <f t="shared" si="12"/>
        <v>0</v>
      </c>
      <c r="L62" s="365">
        <f t="shared" si="12"/>
        <v>0</v>
      </c>
      <c r="M62" s="365">
        <f t="shared" si="12"/>
        <v>0</v>
      </c>
      <c r="N62" s="365">
        <f t="shared" si="12"/>
        <v>0</v>
      </c>
      <c r="O62" s="365">
        <f t="shared" si="12"/>
        <v>0</v>
      </c>
      <c r="P62" s="365">
        <f t="shared" si="12"/>
        <v>0</v>
      </c>
      <c r="T62" s="249"/>
      <c r="U62" s="249"/>
    </row>
    <row r="63" spans="1:21" ht="16.5" customHeight="1">
      <c r="A63" s="646" t="s">
        <v>300</v>
      </c>
      <c r="B63" s="647"/>
      <c r="C63" s="657">
        <f>SUM(E63:P63)+'[2]отчет1433-1'!C63:D63</f>
        <v>207.965</v>
      </c>
      <c r="D63" s="658"/>
      <c r="E63" s="246">
        <f>'[2]касса'!G19/1000</f>
        <v>17.805</v>
      </c>
      <c r="F63" s="246">
        <f>'[2]касса'!H19/1000</f>
        <v>86.118</v>
      </c>
      <c r="G63" s="246">
        <f>'[2]касса'!E19/1000</f>
        <v>0</v>
      </c>
      <c r="H63" s="246"/>
      <c r="I63" s="246"/>
      <c r="J63" s="246"/>
      <c r="K63" s="246"/>
      <c r="L63" s="246"/>
      <c r="M63" s="246"/>
      <c r="N63" s="246"/>
      <c r="O63" s="246"/>
      <c r="P63" s="246"/>
      <c r="T63" s="249"/>
      <c r="U63" s="249"/>
    </row>
    <row r="64" spans="1:19" ht="53.25" customHeight="1">
      <c r="A64" s="653" t="s">
        <v>310</v>
      </c>
      <c r="B64" s="654"/>
      <c r="C64" s="659">
        <f>SUM(C65:D72)</f>
        <v>85.263</v>
      </c>
      <c r="D64" s="660"/>
      <c r="E64" s="364">
        <f aca="true" t="shared" si="13" ref="E64:P64">SUM(E65:E72)</f>
        <v>0</v>
      </c>
      <c r="F64" s="364">
        <f t="shared" si="13"/>
        <v>39.5295</v>
      </c>
      <c r="G64" s="364">
        <f t="shared" si="13"/>
        <v>15.6585</v>
      </c>
      <c r="H64" s="364">
        <f t="shared" si="13"/>
        <v>0</v>
      </c>
      <c r="I64" s="364">
        <f t="shared" si="13"/>
        <v>0</v>
      </c>
      <c r="J64" s="364">
        <f t="shared" si="13"/>
        <v>0</v>
      </c>
      <c r="K64" s="364">
        <f t="shared" si="13"/>
        <v>0</v>
      </c>
      <c r="L64" s="364">
        <f t="shared" si="13"/>
        <v>0</v>
      </c>
      <c r="M64" s="364">
        <f t="shared" si="13"/>
        <v>0</v>
      </c>
      <c r="N64" s="364">
        <f t="shared" si="13"/>
        <v>0</v>
      </c>
      <c r="O64" s="364">
        <f t="shared" si="13"/>
        <v>0</v>
      </c>
      <c r="P64" s="364">
        <f t="shared" si="13"/>
        <v>0</v>
      </c>
      <c r="Q64" s="223"/>
      <c r="R64" s="249"/>
      <c r="S64" s="249"/>
    </row>
    <row r="65" spans="1:21" ht="28.5" customHeight="1">
      <c r="A65" s="646" t="s">
        <v>311</v>
      </c>
      <c r="B65" s="647"/>
      <c r="C65" s="657">
        <f aca="true" t="shared" si="14" ref="C65:C71">SUM(E65:P65)</f>
        <v>0</v>
      </c>
      <c r="D65" s="658"/>
      <c r="E65" s="246"/>
      <c r="F65" s="246"/>
      <c r="G65" s="246"/>
      <c r="H65" s="246"/>
      <c r="I65" s="246"/>
      <c r="J65" s="246"/>
      <c r="K65" s="246"/>
      <c r="L65" s="246"/>
      <c r="M65" s="246"/>
      <c r="N65" s="251"/>
      <c r="O65" s="251"/>
      <c r="P65" s="251"/>
      <c r="T65" s="249"/>
      <c r="U65" s="249"/>
    </row>
    <row r="66" spans="1:21" ht="15.75" customHeight="1">
      <c r="A66" s="646" t="s">
        <v>223</v>
      </c>
      <c r="B66" s="647"/>
      <c r="C66" s="657">
        <f t="shared" si="14"/>
        <v>0</v>
      </c>
      <c r="D66" s="658"/>
      <c r="E66" s="246"/>
      <c r="F66" s="246"/>
      <c r="G66" s="246"/>
      <c r="H66" s="246"/>
      <c r="I66" s="246"/>
      <c r="J66" s="246"/>
      <c r="K66" s="246"/>
      <c r="L66" s="246"/>
      <c r="M66" s="246"/>
      <c r="N66" s="251"/>
      <c r="O66" s="251"/>
      <c r="P66" s="251"/>
      <c r="T66" s="249"/>
      <c r="U66" s="249"/>
    </row>
    <row r="67" spans="1:21" ht="27.75" customHeight="1">
      <c r="A67" s="646" t="s">
        <v>224</v>
      </c>
      <c r="B67" s="647"/>
      <c r="C67" s="657">
        <f t="shared" si="14"/>
        <v>0</v>
      </c>
      <c r="D67" s="658"/>
      <c r="E67" s="246"/>
      <c r="F67" s="246"/>
      <c r="G67" s="246"/>
      <c r="H67" s="246"/>
      <c r="I67" s="246"/>
      <c r="J67" s="246"/>
      <c r="K67" s="246"/>
      <c r="L67" s="246"/>
      <c r="M67" s="246"/>
      <c r="N67" s="251"/>
      <c r="O67" s="251"/>
      <c r="P67" s="251"/>
      <c r="T67" s="249"/>
      <c r="U67" s="249"/>
    </row>
    <row r="68" spans="1:21" ht="27.75" customHeight="1">
      <c r="A68" s="646" t="s">
        <v>225</v>
      </c>
      <c r="B68" s="647"/>
      <c r="C68" s="657">
        <f t="shared" si="14"/>
        <v>0</v>
      </c>
      <c r="D68" s="658"/>
      <c r="E68" s="246"/>
      <c r="F68" s="246"/>
      <c r="G68" s="246"/>
      <c r="H68" s="246"/>
      <c r="I68" s="246"/>
      <c r="J68" s="246"/>
      <c r="K68" s="246"/>
      <c r="L68" s="246"/>
      <c r="M68" s="246"/>
      <c r="N68" s="251"/>
      <c r="O68" s="251"/>
      <c r="P68" s="251"/>
      <c r="T68" s="249"/>
      <c r="U68" s="249"/>
    </row>
    <row r="69" spans="1:21" ht="27" customHeight="1">
      <c r="A69" s="646" t="s">
        <v>312</v>
      </c>
      <c r="B69" s="647"/>
      <c r="C69" s="657">
        <f t="shared" si="14"/>
        <v>0</v>
      </c>
      <c r="D69" s="658"/>
      <c r="E69" s="246"/>
      <c r="F69" s="246"/>
      <c r="G69" s="246"/>
      <c r="H69" s="246"/>
      <c r="I69" s="246"/>
      <c r="J69" s="246"/>
      <c r="K69" s="246"/>
      <c r="L69" s="246"/>
      <c r="M69" s="246"/>
      <c r="N69" s="251"/>
      <c r="O69" s="251"/>
      <c r="P69" s="251"/>
      <c r="T69" s="249"/>
      <c r="U69" s="249"/>
    </row>
    <row r="70" spans="1:21" ht="37.5" customHeight="1">
      <c r="A70" s="646" t="s">
        <v>226</v>
      </c>
      <c r="B70" s="647"/>
      <c r="C70" s="657">
        <f t="shared" si="14"/>
        <v>0</v>
      </c>
      <c r="D70" s="658"/>
      <c r="E70" s="246"/>
      <c r="F70" s="246"/>
      <c r="G70" s="246"/>
      <c r="H70" s="246"/>
      <c r="I70" s="246"/>
      <c r="J70" s="246"/>
      <c r="K70" s="246"/>
      <c r="L70" s="246"/>
      <c r="M70" s="246"/>
      <c r="N70" s="251"/>
      <c r="O70" s="251"/>
      <c r="P70" s="251"/>
      <c r="T70" s="249"/>
      <c r="U70" s="249"/>
    </row>
    <row r="71" spans="1:21" ht="27.75" customHeight="1">
      <c r="A71" s="646" t="s">
        <v>227</v>
      </c>
      <c r="B71" s="647"/>
      <c r="C71" s="657">
        <f t="shared" si="14"/>
        <v>0</v>
      </c>
      <c r="D71" s="658"/>
      <c r="E71" s="246"/>
      <c r="F71" s="246"/>
      <c r="G71" s="246"/>
      <c r="H71" s="246"/>
      <c r="I71" s="246"/>
      <c r="J71" s="246"/>
      <c r="K71" s="246"/>
      <c r="L71" s="246"/>
      <c r="M71" s="246"/>
      <c r="N71" s="251"/>
      <c r="O71" s="251"/>
      <c r="P71" s="251"/>
      <c r="T71" s="249"/>
      <c r="U71" s="249"/>
    </row>
    <row r="72" spans="1:21" ht="27.75" customHeight="1">
      <c r="A72" s="646" t="s">
        <v>228</v>
      </c>
      <c r="B72" s="647"/>
      <c r="C72" s="657">
        <f>SUM(E72:P72)+'[2]отчет1433-1'!C72:D72</f>
        <v>85.263</v>
      </c>
      <c r="D72" s="658"/>
      <c r="E72" s="246"/>
      <c r="F72" s="246">
        <v>39.5295</v>
      </c>
      <c r="G72" s="246">
        <v>15.6585</v>
      </c>
      <c r="H72" s="246"/>
      <c r="I72" s="246"/>
      <c r="J72" s="246"/>
      <c r="K72" s="246"/>
      <c r="L72" s="246"/>
      <c r="M72" s="246"/>
      <c r="N72" s="251"/>
      <c r="O72" s="251"/>
      <c r="P72" s="251"/>
      <c r="T72" s="249"/>
      <c r="U72" s="249"/>
    </row>
    <row r="74" spans="14:16" ht="12.75">
      <c r="N74" s="249"/>
      <c r="O74" s="249"/>
      <c r="P74" s="249"/>
    </row>
    <row r="75" spans="1:17" s="235" customFormat="1" ht="15">
      <c r="A75" s="235" t="s">
        <v>313</v>
      </c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P75" s="255"/>
      <c r="Q75" s="236"/>
    </row>
    <row r="76" spans="4:17" s="235" customFormat="1" ht="15" hidden="1"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P76" s="255"/>
      <c r="Q76" s="236"/>
    </row>
    <row r="77" spans="1:17" s="235" customFormat="1" ht="15">
      <c r="A77" s="235" t="s">
        <v>314</v>
      </c>
      <c r="P77" s="255"/>
      <c r="Q77" s="236"/>
    </row>
    <row r="78" spans="14:17" s="226" customFormat="1" ht="15">
      <c r="N78" s="256"/>
      <c r="Q78" s="229"/>
    </row>
    <row r="79" spans="1:9" s="226" customFormat="1" ht="15" customHeight="1">
      <c r="A79" s="661" t="s">
        <v>315</v>
      </c>
      <c r="B79" s="661" t="s">
        <v>284</v>
      </c>
      <c r="C79" s="662" t="s">
        <v>316</v>
      </c>
      <c r="D79" s="663"/>
      <c r="E79" s="257"/>
      <c r="F79" s="673" t="s">
        <v>317</v>
      </c>
      <c r="G79" s="674"/>
      <c r="I79" s="229"/>
    </row>
    <row r="80" spans="1:9" s="226" customFormat="1" ht="15" customHeight="1">
      <c r="A80" s="661"/>
      <c r="B80" s="661"/>
      <c r="C80" s="664"/>
      <c r="D80" s="665"/>
      <c r="E80" s="258"/>
      <c r="F80" s="675"/>
      <c r="G80" s="676"/>
      <c r="I80" s="229"/>
    </row>
    <row r="81" spans="1:9" s="226" customFormat="1" ht="24.75" customHeight="1">
      <c r="A81" s="259"/>
      <c r="B81" s="260"/>
      <c r="C81" s="643"/>
      <c r="D81" s="645"/>
      <c r="E81" s="240" t="s">
        <v>318</v>
      </c>
      <c r="F81" s="671" t="s">
        <v>318</v>
      </c>
      <c r="G81" s="672"/>
      <c r="I81" s="229"/>
    </row>
    <row r="82" spans="1:9" s="226" customFormat="1" ht="25.5" customHeight="1">
      <c r="A82" s="259"/>
      <c r="B82" s="260"/>
      <c r="C82" s="643"/>
      <c r="D82" s="645"/>
      <c r="E82" s="240"/>
      <c r="F82" s="671"/>
      <c r="G82" s="672"/>
      <c r="I82" s="229"/>
    </row>
    <row r="83" spans="1:9" s="226" customFormat="1" ht="26.25" customHeight="1">
      <c r="A83" s="259"/>
      <c r="B83" s="260"/>
      <c r="C83" s="643"/>
      <c r="D83" s="645"/>
      <c r="E83" s="240"/>
      <c r="F83" s="671"/>
      <c r="G83" s="672"/>
      <c r="I83" s="229"/>
    </row>
    <row r="84" spans="6:17" ht="15">
      <c r="F84" s="261"/>
      <c r="I84" s="225"/>
      <c r="Q84" s="223"/>
    </row>
    <row r="85" spans="6:17" ht="15">
      <c r="F85" s="261"/>
      <c r="I85" s="225"/>
      <c r="Q85" s="223"/>
    </row>
    <row r="86" spans="1:9" s="235" customFormat="1" ht="15">
      <c r="A86" s="235" t="s">
        <v>319</v>
      </c>
      <c r="F86" s="256"/>
      <c r="I86" s="236"/>
    </row>
    <row r="87" spans="6:17" ht="15">
      <c r="F87" s="261"/>
      <c r="I87" s="225"/>
      <c r="Q87" s="223"/>
    </row>
    <row r="88" spans="1:17" ht="12.75" customHeight="1">
      <c r="A88" s="661" t="s">
        <v>315</v>
      </c>
      <c r="B88" s="661" t="s">
        <v>284</v>
      </c>
      <c r="C88" s="662" t="s">
        <v>320</v>
      </c>
      <c r="D88" s="663"/>
      <c r="E88" s="257"/>
      <c r="F88" s="673" t="s">
        <v>321</v>
      </c>
      <c r="G88" s="674"/>
      <c r="I88" s="225"/>
      <c r="Q88" s="223"/>
    </row>
    <row r="89" spans="1:17" ht="12.75">
      <c r="A89" s="661"/>
      <c r="B89" s="661"/>
      <c r="C89" s="664"/>
      <c r="D89" s="665"/>
      <c r="E89" s="258"/>
      <c r="F89" s="675"/>
      <c r="G89" s="676"/>
      <c r="I89" s="225"/>
      <c r="Q89" s="223"/>
    </row>
    <row r="90" spans="1:17" ht="24.75" customHeight="1">
      <c r="A90" s="259"/>
      <c r="B90" s="260"/>
      <c r="C90" s="643"/>
      <c r="D90" s="645"/>
      <c r="E90" s="240" t="s">
        <v>318</v>
      </c>
      <c r="F90" s="671" t="s">
        <v>318</v>
      </c>
      <c r="G90" s="672"/>
      <c r="I90" s="225"/>
      <c r="Q90" s="223"/>
    </row>
    <row r="91" spans="1:17" ht="23.25" customHeight="1">
      <c r="A91" s="259"/>
      <c r="B91" s="260"/>
      <c r="C91" s="643"/>
      <c r="D91" s="645"/>
      <c r="E91" s="240"/>
      <c r="F91" s="671"/>
      <c r="G91" s="672"/>
      <c r="I91" s="225"/>
      <c r="Q91" s="223"/>
    </row>
    <row r="92" spans="1:17" ht="26.25" customHeight="1">
      <c r="A92" s="259"/>
      <c r="B92" s="260"/>
      <c r="C92" s="643"/>
      <c r="D92" s="645"/>
      <c r="E92" s="240"/>
      <c r="F92" s="671"/>
      <c r="G92" s="672"/>
      <c r="I92" s="225"/>
      <c r="Q92" s="223"/>
    </row>
    <row r="93" spans="4:14" ht="15"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1"/>
    </row>
    <row r="94" ht="15">
      <c r="N94" s="261"/>
    </row>
    <row r="95" spans="1:17" s="263" customFormat="1" ht="15">
      <c r="A95" s="235" t="s">
        <v>322</v>
      </c>
      <c r="B95" s="235"/>
      <c r="N95" s="261"/>
      <c r="Q95" s="264"/>
    </row>
    <row r="96" ht="15">
      <c r="N96" s="261"/>
    </row>
    <row r="97" spans="1:5" s="226" customFormat="1" ht="15" customHeight="1">
      <c r="A97" s="661" t="s">
        <v>315</v>
      </c>
      <c r="B97" s="661" t="s">
        <v>323</v>
      </c>
      <c r="C97" s="661" t="s">
        <v>233</v>
      </c>
      <c r="D97" s="661" t="s">
        <v>234</v>
      </c>
      <c r="E97" s="666" t="s">
        <v>324</v>
      </c>
    </row>
    <row r="98" spans="1:5" s="226" customFormat="1" ht="22.5" customHeight="1">
      <c r="A98" s="661"/>
      <c r="B98" s="661"/>
      <c r="C98" s="661"/>
      <c r="D98" s="661"/>
      <c r="E98" s="666"/>
    </row>
    <row r="99" spans="1:5" s="226" customFormat="1" ht="63.75">
      <c r="A99" s="259">
        <v>1</v>
      </c>
      <c r="B99" s="265" t="s">
        <v>241</v>
      </c>
      <c r="C99" s="266"/>
      <c r="D99" s="267" t="s">
        <v>325</v>
      </c>
      <c r="E99" s="267" t="s">
        <v>325</v>
      </c>
    </row>
    <row r="100" spans="1:17" ht="13.5" customHeight="1">
      <c r="A100" s="259">
        <v>2</v>
      </c>
      <c r="B100" s="268" t="s">
        <v>243</v>
      </c>
      <c r="C100" s="266"/>
      <c r="D100" s="239" t="s">
        <v>244</v>
      </c>
      <c r="E100" s="242" t="s">
        <v>318</v>
      </c>
      <c r="Q100" s="223"/>
    </row>
    <row r="101" spans="1:17" ht="38.25">
      <c r="A101" s="259">
        <v>3</v>
      </c>
      <c r="B101" s="268" t="s">
        <v>245</v>
      </c>
      <c r="C101" s="266"/>
      <c r="D101" s="239" t="s">
        <v>246</v>
      </c>
      <c r="E101" s="239" t="s">
        <v>246</v>
      </c>
      <c r="Q101" s="223"/>
    </row>
    <row r="102" spans="1:17" ht="39" customHeight="1">
      <c r="A102" s="259">
        <v>4</v>
      </c>
      <c r="B102" s="268" t="s">
        <v>245</v>
      </c>
      <c r="C102" s="266"/>
      <c r="D102" s="269" t="s">
        <v>248</v>
      </c>
      <c r="E102" s="269" t="s">
        <v>248</v>
      </c>
      <c r="Q102" s="223"/>
    </row>
    <row r="103" spans="1:17" ht="12.75">
      <c r="A103" s="270"/>
      <c r="B103" s="271"/>
      <c r="C103" s="272"/>
      <c r="D103" s="272"/>
      <c r="E103" s="272"/>
      <c r="F103" s="272"/>
      <c r="H103" s="272"/>
      <c r="K103" s="225"/>
      <c r="Q103" s="223"/>
    </row>
    <row r="104" spans="1:17" ht="12.75">
      <c r="A104" s="270"/>
      <c r="B104" s="271"/>
      <c r="C104" s="272"/>
      <c r="D104" s="272"/>
      <c r="E104" s="272"/>
      <c r="F104" s="272"/>
      <c r="H104" s="272"/>
      <c r="K104" s="225"/>
      <c r="Q104" s="223"/>
    </row>
    <row r="105" spans="1:17" ht="12.75">
      <c r="A105" s="270"/>
      <c r="B105" s="271"/>
      <c r="C105" s="272"/>
      <c r="D105" s="272"/>
      <c r="E105" s="272"/>
      <c r="F105" s="272"/>
      <c r="H105" s="272"/>
      <c r="K105" s="225"/>
      <c r="Q105" s="223"/>
    </row>
    <row r="106" spans="1:11" s="235" customFormat="1" ht="15">
      <c r="A106" s="235" t="s">
        <v>326</v>
      </c>
      <c r="K106" s="236"/>
    </row>
    <row r="107" spans="11:17" ht="12.75">
      <c r="K107" s="225"/>
      <c r="Q107" s="223"/>
    </row>
    <row r="108" spans="1:5" s="226" customFormat="1" ht="51">
      <c r="A108" s="668" t="s">
        <v>327</v>
      </c>
      <c r="B108" s="668"/>
      <c r="C108" s="239" t="s">
        <v>261</v>
      </c>
      <c r="D108" s="237" t="s">
        <v>328</v>
      </c>
      <c r="E108" s="239" t="s">
        <v>329</v>
      </c>
    </row>
    <row r="109" spans="1:5" s="226" customFormat="1" ht="42" customHeight="1">
      <c r="A109" s="669" t="s">
        <v>289</v>
      </c>
      <c r="B109" s="669"/>
      <c r="C109" s="239" t="s">
        <v>351</v>
      </c>
      <c r="D109" s="284">
        <f>C58+C64</f>
        <v>9464.02964</v>
      </c>
      <c r="E109" s="259">
        <f>D31</f>
        <v>152</v>
      </c>
    </row>
    <row r="111" s="273" customFormat="1" ht="13.5" customHeight="1" thickBot="1"/>
    <row r="112" spans="1:2" s="273" customFormat="1" ht="15">
      <c r="A112" s="274" t="s">
        <v>203</v>
      </c>
      <c r="B112" s="275" t="s">
        <v>330</v>
      </c>
    </row>
    <row r="113" spans="1:17" s="226" customFormat="1" ht="15">
      <c r="A113" s="235" t="s">
        <v>331</v>
      </c>
      <c r="Q113" s="229"/>
    </row>
    <row r="114" spans="1:17" s="226" customFormat="1" ht="15">
      <c r="A114" s="235"/>
      <c r="Q114" s="229"/>
    </row>
    <row r="115" spans="1:17" s="263" customFormat="1" ht="17.25" customHeight="1">
      <c r="A115" s="670" t="s">
        <v>332</v>
      </c>
      <c r="B115" s="670"/>
      <c r="C115" s="670"/>
      <c r="D115" s="670"/>
      <c r="E115" s="670"/>
      <c r="F115" s="670"/>
      <c r="G115" s="670"/>
      <c r="H115" s="670"/>
      <c r="I115" s="670"/>
      <c r="J115" s="670"/>
      <c r="K115" s="670"/>
      <c r="L115" s="670"/>
      <c r="M115" s="670"/>
      <c r="N115" s="670"/>
      <c r="O115" s="670"/>
      <c r="Q115" s="264"/>
    </row>
    <row r="117" spans="1:17" ht="12.75">
      <c r="A117" s="638" t="s">
        <v>359</v>
      </c>
      <c r="B117" s="638"/>
      <c r="C117" s="638"/>
      <c r="D117" s="638"/>
      <c r="E117" s="276"/>
      <c r="G117" s="225"/>
      <c r="Q117" s="223"/>
    </row>
    <row r="118" spans="1:17" ht="17.25" customHeight="1">
      <c r="A118" s="277"/>
      <c r="B118" s="277"/>
      <c r="C118" s="277"/>
      <c r="D118" s="277"/>
      <c r="E118" s="277"/>
      <c r="G118" s="225"/>
      <c r="Q118" s="223"/>
    </row>
    <row r="119" spans="1:17" ht="17.25" customHeight="1">
      <c r="A119" s="277"/>
      <c r="B119" s="277"/>
      <c r="C119" s="277"/>
      <c r="D119" s="277"/>
      <c r="E119" s="277"/>
      <c r="G119" s="225"/>
      <c r="Q119" s="223"/>
    </row>
    <row r="120" spans="1:17" ht="12.75">
      <c r="A120" s="272"/>
      <c r="B120" s="272"/>
      <c r="C120" s="272"/>
      <c r="D120" s="272"/>
      <c r="E120" s="272"/>
      <c r="G120" s="225"/>
      <c r="Q120" s="223"/>
    </row>
    <row r="121" ht="12.75" hidden="1"/>
    <row r="123" spans="1:17" s="226" customFormat="1" ht="36" customHeight="1">
      <c r="A123" s="670" t="s">
        <v>333</v>
      </c>
      <c r="B123" s="670"/>
      <c r="C123" s="670"/>
      <c r="D123" s="670"/>
      <c r="E123" s="670"/>
      <c r="F123" s="670"/>
      <c r="G123" s="670"/>
      <c r="H123" s="670"/>
      <c r="I123" s="670"/>
      <c r="J123" s="670"/>
      <c r="K123" s="670"/>
      <c r="L123" s="670"/>
      <c r="M123" s="670"/>
      <c r="N123" s="670"/>
      <c r="O123" s="670"/>
      <c r="Q123" s="229"/>
    </row>
    <row r="125" spans="1:17" ht="12.75">
      <c r="A125" s="276" t="s">
        <v>360</v>
      </c>
      <c r="B125" s="276"/>
      <c r="C125" s="276"/>
      <c r="D125" s="276"/>
      <c r="E125" s="276"/>
      <c r="F125" s="276"/>
      <c r="G125" s="225"/>
      <c r="Q125" s="223"/>
    </row>
    <row r="126" spans="1:17" ht="17.25" customHeight="1">
      <c r="A126" s="277"/>
      <c r="B126" s="277"/>
      <c r="C126" s="277"/>
      <c r="D126" s="277"/>
      <c r="E126" s="277"/>
      <c r="G126" s="225"/>
      <c r="Q126" s="223"/>
    </row>
    <row r="127" spans="1:17" ht="15.75" customHeight="1">
      <c r="A127" s="277"/>
      <c r="B127" s="277"/>
      <c r="C127" s="277"/>
      <c r="D127" s="277"/>
      <c r="E127" s="277"/>
      <c r="G127" s="225"/>
      <c r="Q127" s="223"/>
    </row>
    <row r="128" spans="1:17" ht="12.75">
      <c r="A128" s="272"/>
      <c r="B128" s="272"/>
      <c r="C128" s="272"/>
      <c r="D128" s="272"/>
      <c r="E128" s="272"/>
      <c r="G128" s="225"/>
      <c r="Q128" s="223"/>
    </row>
    <row r="129" spans="7:17" ht="12.75">
      <c r="G129" s="225"/>
      <c r="Q129" s="223"/>
    </row>
    <row r="130" spans="1:17" s="235" customFormat="1" ht="27.75" customHeight="1">
      <c r="A130" s="235" t="s">
        <v>334</v>
      </c>
      <c r="Q130" s="236"/>
    </row>
    <row r="131" spans="2:17" ht="12.75">
      <c r="B131" s="272"/>
      <c r="G131" s="225"/>
      <c r="Q131" s="223"/>
    </row>
    <row r="132" spans="1:17" ht="12.75">
      <c r="A132" s="278"/>
      <c r="B132" s="278" t="s">
        <v>361</v>
      </c>
      <c r="C132" s="278"/>
      <c r="D132" s="278"/>
      <c r="E132" s="278"/>
      <c r="G132" s="225"/>
      <c r="Q132" s="223"/>
    </row>
    <row r="133" spans="1:17" ht="16.5" customHeight="1">
      <c r="A133" s="277"/>
      <c r="B133" s="277"/>
      <c r="C133" s="277"/>
      <c r="D133" s="277"/>
      <c r="E133" s="277"/>
      <c r="G133" s="225"/>
      <c r="Q133" s="223"/>
    </row>
    <row r="134" spans="1:17" ht="15.75" customHeight="1">
      <c r="A134" s="277"/>
      <c r="B134" s="277"/>
      <c r="C134" s="277"/>
      <c r="D134" s="277"/>
      <c r="E134" s="277"/>
      <c r="G134" s="225"/>
      <c r="Q134" s="223"/>
    </row>
    <row r="135" spans="1:14" ht="12.7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</row>
    <row r="136" spans="1:14" ht="12.7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</row>
    <row r="137" spans="1:14" ht="12.7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</row>
    <row r="140" spans="1:13" s="226" customFormat="1" ht="16.5">
      <c r="A140" s="667" t="s">
        <v>352</v>
      </c>
      <c r="B140" s="667"/>
      <c r="D140" s="285"/>
      <c r="L140" s="285" t="s">
        <v>132</v>
      </c>
      <c r="M140" s="226" t="s">
        <v>283</v>
      </c>
    </row>
    <row r="141" spans="1:17" s="226" customFormat="1" ht="16.5">
      <c r="A141" s="279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Q141" s="229"/>
    </row>
    <row r="142" spans="1:16" s="226" customFormat="1" ht="16.5">
      <c r="A142" s="279"/>
      <c r="B142" s="236" t="s">
        <v>284</v>
      </c>
      <c r="C142" s="358">
        <v>41456</v>
      </c>
      <c r="D142" s="236" t="s">
        <v>285</v>
      </c>
      <c r="E142" s="236"/>
      <c r="F142" s="236"/>
      <c r="G142" s="236"/>
      <c r="H142" s="236"/>
      <c r="I142" s="236"/>
      <c r="J142" s="236"/>
      <c r="K142" s="236"/>
      <c r="L142" s="236"/>
      <c r="M142" s="236"/>
      <c r="P142" s="229"/>
    </row>
    <row r="143" spans="1:3" ht="21" customHeight="1">
      <c r="A143" s="281"/>
      <c r="B143" s="282"/>
      <c r="C143" s="282"/>
    </row>
    <row r="144" spans="1:3" ht="16.5" customHeight="1">
      <c r="A144" s="281"/>
      <c r="B144" s="282"/>
      <c r="C144" s="282"/>
    </row>
    <row r="145" spans="2:3" ht="12.75" customHeight="1">
      <c r="B145" s="282"/>
      <c r="C145" s="282"/>
    </row>
    <row r="146" spans="2:3" ht="12.75" customHeight="1">
      <c r="B146" s="282"/>
      <c r="C146" s="282"/>
    </row>
    <row r="147" spans="2:3" ht="12.75" customHeight="1">
      <c r="B147" s="282"/>
      <c r="C147" s="282"/>
    </row>
    <row r="148" spans="2:3" ht="12" customHeight="1">
      <c r="B148" s="282"/>
      <c r="C148" s="282"/>
    </row>
    <row r="149" ht="12" customHeight="1">
      <c r="C149" s="282"/>
    </row>
    <row r="150" ht="13.5" customHeight="1">
      <c r="C150" s="282"/>
    </row>
  </sheetData>
  <sheetProtection/>
  <mergeCells count="110">
    <mergeCell ref="F81:G81"/>
    <mergeCell ref="F79:G80"/>
    <mergeCell ref="F92:G92"/>
    <mergeCell ref="F91:G91"/>
    <mergeCell ref="F90:G90"/>
    <mergeCell ref="F88:G89"/>
    <mergeCell ref="F83:G83"/>
    <mergeCell ref="F82:G82"/>
    <mergeCell ref="A140:B140"/>
    <mergeCell ref="E24:P24"/>
    <mergeCell ref="A108:B108"/>
    <mergeCell ref="A109:B109"/>
    <mergeCell ref="A115:O115"/>
    <mergeCell ref="A123:O123"/>
    <mergeCell ref="A97:A98"/>
    <mergeCell ref="B97:B98"/>
    <mergeCell ref="C97:C98"/>
    <mergeCell ref="D97:D98"/>
    <mergeCell ref="E97:E98"/>
    <mergeCell ref="C90:D90"/>
    <mergeCell ref="C91:D91"/>
    <mergeCell ref="C92:D92"/>
    <mergeCell ref="C82:D82"/>
    <mergeCell ref="C83:D83"/>
    <mergeCell ref="A72:B72"/>
    <mergeCell ref="C72:D72"/>
    <mergeCell ref="A88:A89"/>
    <mergeCell ref="B88:B89"/>
    <mergeCell ref="C88:D89"/>
    <mergeCell ref="A79:A80"/>
    <mergeCell ref="B79:B80"/>
    <mergeCell ref="C79:D80"/>
    <mergeCell ref="C81:D81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6:B56"/>
    <mergeCell ref="C56:D56"/>
    <mergeCell ref="A57:P57"/>
    <mergeCell ref="A58:B58"/>
    <mergeCell ref="C58:D58"/>
    <mergeCell ref="A59:B59"/>
    <mergeCell ref="C59:D59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N40:P40"/>
    <mergeCell ref="A41:P41"/>
    <mergeCell ref="A42:B42"/>
    <mergeCell ref="C42:D42"/>
    <mergeCell ref="A43:B43"/>
    <mergeCell ref="C43:D43"/>
    <mergeCell ref="A31:B31"/>
    <mergeCell ref="A32:B32"/>
    <mergeCell ref="A33:B33"/>
    <mergeCell ref="A34:B34"/>
    <mergeCell ref="A40:B40"/>
    <mergeCell ref="C40:D40"/>
    <mergeCell ref="A117:D117"/>
    <mergeCell ref="A13:P13"/>
    <mergeCell ref="A14:P14"/>
    <mergeCell ref="A24:B24"/>
    <mergeCell ref="A25:P25"/>
    <mergeCell ref="A26:B26"/>
    <mergeCell ref="A27:B27"/>
    <mergeCell ref="A28:B28"/>
    <mergeCell ref="A29:B29"/>
    <mergeCell ref="A30:P30"/>
  </mergeCells>
  <printOptions/>
  <pageMargins left="0.57" right="0.2362204724409449" top="0.1968503937007874" bottom="0.1968503937007874" header="0.15748031496062992" footer="0.1968503937007874"/>
  <pageSetup horizontalDpi="600" verticalDpi="600" orientation="landscape" paperSize="9" scale="95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35">
      <selection activeCell="Q23" sqref="Q23"/>
    </sheetView>
  </sheetViews>
  <sheetFormatPr defaultColWidth="9.00390625" defaultRowHeight="12.75"/>
  <cols>
    <col min="1" max="1" width="9.125" style="223" customWidth="1"/>
    <col min="2" max="2" width="52.25390625" style="223" customWidth="1"/>
    <col min="3" max="3" width="15.875" style="223" customWidth="1"/>
    <col min="4" max="4" width="18.25390625" style="223" customWidth="1"/>
    <col min="5" max="7" width="16.25390625" style="223" customWidth="1"/>
    <col min="8" max="10" width="16.75390625" style="223" hidden="1" customWidth="1"/>
    <col min="11" max="11" width="18.00390625" style="223" hidden="1" customWidth="1"/>
    <col min="12" max="12" width="17.75390625" style="223" hidden="1" customWidth="1"/>
    <col min="13" max="13" width="17.125" style="223" hidden="1" customWidth="1"/>
    <col min="14" max="14" width="16.875" style="223" hidden="1" customWidth="1"/>
    <col min="15" max="15" width="15.25390625" style="223" hidden="1" customWidth="1"/>
    <col min="16" max="16" width="15.125" style="223" hidden="1" customWidth="1"/>
    <col min="17" max="17" width="14.25390625" style="225" hidden="1" customWidth="1"/>
    <col min="18" max="18" width="16.25390625" style="223" hidden="1" customWidth="1"/>
    <col min="19" max="19" width="9.125" style="223" hidden="1" customWidth="1"/>
    <col min="20" max="20" width="9.125" style="223" customWidth="1"/>
    <col min="21" max="21" width="9.625" style="223" bestFit="1" customWidth="1"/>
    <col min="22" max="16384" width="9.125" style="223" customWidth="1"/>
  </cols>
  <sheetData>
    <row r="1" ht="11.25" customHeight="1">
      <c r="G1" s="224" t="s">
        <v>286</v>
      </c>
    </row>
    <row r="2" ht="9" customHeight="1">
      <c r="G2" s="224" t="s">
        <v>149</v>
      </c>
    </row>
    <row r="3" ht="9.75" customHeight="1">
      <c r="G3" s="224" t="s">
        <v>150</v>
      </c>
    </row>
    <row r="4" ht="9.75" customHeight="1">
      <c r="G4" s="224" t="s">
        <v>151</v>
      </c>
    </row>
    <row r="5" ht="9" customHeight="1">
      <c r="G5" s="224" t="s">
        <v>152</v>
      </c>
    </row>
    <row r="6" ht="10.5" customHeight="1">
      <c r="G6" s="224" t="s">
        <v>153</v>
      </c>
    </row>
    <row r="7" ht="9" customHeight="1">
      <c r="G7" s="224" t="s">
        <v>154</v>
      </c>
    </row>
    <row r="8" ht="9.75" customHeight="1">
      <c r="G8" s="224" t="s">
        <v>155</v>
      </c>
    </row>
    <row r="9" ht="9" customHeight="1">
      <c r="G9" s="224" t="s">
        <v>156</v>
      </c>
    </row>
    <row r="10" ht="9.75" customHeight="1">
      <c r="G10" s="224" t="s">
        <v>157</v>
      </c>
    </row>
    <row r="11" spans="2:17" s="226" customFormat="1" ht="15.75">
      <c r="B11" s="227"/>
      <c r="C11" s="228" t="s">
        <v>287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Q11" s="229"/>
    </row>
    <row r="12" spans="2:17" s="226" customFormat="1" ht="15.75">
      <c r="B12" s="227"/>
      <c r="C12" s="228" t="s">
        <v>288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Q12" s="229"/>
    </row>
    <row r="13" spans="1:17" s="226" customFormat="1" ht="33" customHeight="1">
      <c r="A13" s="639" t="s">
        <v>289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229"/>
    </row>
    <row r="14" spans="1:17" s="226" customFormat="1" ht="18.75" customHeight="1">
      <c r="A14" s="640" t="s">
        <v>350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229"/>
    </row>
    <row r="15" spans="1:17" s="226" customFormat="1" ht="15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29"/>
    </row>
    <row r="16" spans="2:17" s="226" customFormat="1" ht="15.75">
      <c r="B16" s="227"/>
      <c r="C16" s="228" t="s">
        <v>357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Q16" s="229"/>
    </row>
    <row r="17" spans="2:17" s="226" customFormat="1" ht="15.75">
      <c r="B17" s="227"/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Q17" s="229"/>
    </row>
    <row r="18" spans="1:17" s="226" customFormat="1" ht="17.25" customHeight="1">
      <c r="A18" s="231" t="s">
        <v>290</v>
      </c>
      <c r="B18" s="232"/>
      <c r="C18" s="359" t="s">
        <v>353</v>
      </c>
      <c r="D18" s="359"/>
      <c r="E18" s="233"/>
      <c r="F18" s="233"/>
      <c r="G18" s="233"/>
      <c r="H18" s="233"/>
      <c r="I18" s="233"/>
      <c r="J18" s="233"/>
      <c r="K18" s="233"/>
      <c r="L18" s="233"/>
      <c r="M18" s="233"/>
      <c r="Q18" s="229"/>
    </row>
    <row r="19" spans="2:17" s="226" customFormat="1" ht="12.75" customHeight="1" hidden="1">
      <c r="B19" s="234"/>
      <c r="C19" s="359"/>
      <c r="D19" s="359"/>
      <c r="Q19" s="229"/>
    </row>
    <row r="20" spans="2:17" s="226" customFormat="1" ht="12.75">
      <c r="B20" s="234"/>
      <c r="C20" s="359" t="s">
        <v>354</v>
      </c>
      <c r="D20" s="359"/>
      <c r="Q20" s="229"/>
    </row>
    <row r="21" spans="1:17" s="235" customFormat="1" ht="15">
      <c r="A21" s="235" t="s">
        <v>291</v>
      </c>
      <c r="C21" s="360"/>
      <c r="D21" s="360"/>
      <c r="Q21" s="236"/>
    </row>
    <row r="22" spans="1:17" s="235" customFormat="1" ht="15">
      <c r="A22" s="235" t="s">
        <v>292</v>
      </c>
      <c r="Q22" s="236"/>
    </row>
    <row r="24" spans="1:16" ht="39" customHeight="1">
      <c r="A24" s="641" t="s">
        <v>293</v>
      </c>
      <c r="B24" s="642"/>
      <c r="C24" s="239" t="s">
        <v>25</v>
      </c>
      <c r="D24" s="239" t="s">
        <v>294</v>
      </c>
      <c r="E24" s="641" t="s">
        <v>295</v>
      </c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2"/>
    </row>
    <row r="25" spans="1:16" ht="21.75" customHeight="1">
      <c r="A25" s="643" t="s">
        <v>296</v>
      </c>
      <c r="B25" s="644"/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5"/>
    </row>
    <row r="26" spans="1:19" ht="64.5" customHeight="1">
      <c r="A26" s="646" t="s">
        <v>297</v>
      </c>
      <c r="B26" s="647"/>
      <c r="C26" s="241" t="s">
        <v>174</v>
      </c>
      <c r="D26" s="242">
        <f>ROUND((E26+F26+G26+H26+I26+J26+K26+L26+M26+N26+O26+P26)/S26,0)</f>
        <v>152</v>
      </c>
      <c r="E26" s="242">
        <f aca="true" t="shared" si="0" ref="E26:M26">E27</f>
        <v>152</v>
      </c>
      <c r="F26" s="242">
        <f t="shared" si="0"/>
        <v>152</v>
      </c>
      <c r="G26" s="242">
        <f t="shared" si="0"/>
        <v>152</v>
      </c>
      <c r="H26" s="242">
        <f t="shared" si="0"/>
        <v>0</v>
      </c>
      <c r="I26" s="242">
        <f t="shared" si="0"/>
        <v>0</v>
      </c>
      <c r="J26" s="242">
        <f t="shared" si="0"/>
        <v>0</v>
      </c>
      <c r="K26" s="242">
        <f t="shared" si="0"/>
        <v>0</v>
      </c>
      <c r="L26" s="242">
        <f t="shared" si="0"/>
        <v>0</v>
      </c>
      <c r="M26" s="242">
        <f t="shared" si="0"/>
        <v>0</v>
      </c>
      <c r="N26" s="242">
        <f>N27</f>
        <v>0</v>
      </c>
      <c r="O26" s="242">
        <f>O27</f>
        <v>0</v>
      </c>
      <c r="P26" s="242">
        <f>P27</f>
        <v>0</v>
      </c>
      <c r="S26" s="223">
        <f>COUNTIF(E26:P26,"&gt;0")</f>
        <v>3</v>
      </c>
    </row>
    <row r="27" spans="1:19" ht="12.75">
      <c r="A27" s="646" t="s">
        <v>298</v>
      </c>
      <c r="B27" s="647"/>
      <c r="C27" s="241" t="s">
        <v>174</v>
      </c>
      <c r="D27" s="242">
        <f>ROUND((E27+F27+G27+H27+I27+J27+K27+L27+M27+N27+O27+P27)/S27,0)</f>
        <v>152</v>
      </c>
      <c r="E27" s="242">
        <f>'[1]мун.задание'!D69</f>
        <v>152</v>
      </c>
      <c r="F27" s="242">
        <f>'[1]мун.задание'!E69</f>
        <v>152</v>
      </c>
      <c r="G27" s="242">
        <f>'[1]мун.задание'!F69</f>
        <v>152</v>
      </c>
      <c r="H27" s="242"/>
      <c r="I27" s="242"/>
      <c r="J27" s="242"/>
      <c r="K27" s="242"/>
      <c r="L27" s="242"/>
      <c r="M27" s="242"/>
      <c r="N27" s="242"/>
      <c r="O27" s="242"/>
      <c r="P27" s="242"/>
      <c r="S27" s="223">
        <f>COUNTIF(E27:P27,"&gt;0")</f>
        <v>3</v>
      </c>
    </row>
    <row r="28" spans="1:19" ht="15" customHeight="1">
      <c r="A28" s="646" t="s">
        <v>299</v>
      </c>
      <c r="B28" s="647"/>
      <c r="C28" s="241" t="s">
        <v>174</v>
      </c>
      <c r="D28" s="242">
        <f>ROUND((E28+F28+G28+H28+I28+J28+K28+L28+M28+N28+O28+P28)/S28,0)</f>
        <v>152</v>
      </c>
      <c r="E28" s="242">
        <f>'[1]мун.задание'!D70</f>
        <v>152</v>
      </c>
      <c r="F28" s="242">
        <f>'[1]мун.задание'!E70</f>
        <v>152</v>
      </c>
      <c r="G28" s="242">
        <f>'[1]мун.задание'!F70</f>
        <v>152</v>
      </c>
      <c r="H28" s="242"/>
      <c r="I28" s="242"/>
      <c r="J28" s="242"/>
      <c r="K28" s="242"/>
      <c r="L28" s="242"/>
      <c r="M28" s="242"/>
      <c r="N28" s="242"/>
      <c r="O28" s="242"/>
      <c r="P28" s="242"/>
      <c r="S28" s="223">
        <f>COUNTIF(E28:P28,"&gt;0")</f>
        <v>3</v>
      </c>
    </row>
    <row r="29" spans="1:19" ht="15" customHeight="1">
      <c r="A29" s="646" t="s">
        <v>300</v>
      </c>
      <c r="B29" s="647"/>
      <c r="C29" s="241" t="s">
        <v>174</v>
      </c>
      <c r="D29" s="242">
        <f>ROUND((E29+F29+G29+H29+I29+J29+K29+L29+M29+N29+O29+P29)/S29,0)</f>
        <v>152</v>
      </c>
      <c r="E29" s="242">
        <f>'[1]мун.задание'!D71</f>
        <v>152</v>
      </c>
      <c r="F29" s="242">
        <f>'[1]мун.задание'!E71</f>
        <v>152</v>
      </c>
      <c r="G29" s="242">
        <f>'[1]мун.задание'!F71</f>
        <v>152</v>
      </c>
      <c r="H29" s="242"/>
      <c r="I29" s="242"/>
      <c r="J29" s="242"/>
      <c r="K29" s="242"/>
      <c r="L29" s="242"/>
      <c r="M29" s="242"/>
      <c r="N29" s="242"/>
      <c r="O29" s="242"/>
      <c r="P29" s="242"/>
      <c r="S29" s="223">
        <f>COUNTIF(E29:P29,"&gt;0")</f>
        <v>3</v>
      </c>
    </row>
    <row r="30" spans="1:16" ht="22.5" customHeight="1">
      <c r="A30" s="643" t="s">
        <v>301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5"/>
    </row>
    <row r="31" spans="1:19" ht="63" customHeight="1">
      <c r="A31" s="646" t="s">
        <v>302</v>
      </c>
      <c r="B31" s="647"/>
      <c r="C31" s="241" t="s">
        <v>174</v>
      </c>
      <c r="D31" s="242">
        <f>ROUND((E31+F31+G31+H31+I31+J31+K31+L31+M31+N31+O31+P31)/S31,0)</f>
        <v>152</v>
      </c>
      <c r="E31" s="242">
        <f aca="true" t="shared" si="1" ref="E31:P31">E32</f>
        <v>152</v>
      </c>
      <c r="F31" s="242">
        <f t="shared" si="1"/>
        <v>152</v>
      </c>
      <c r="G31" s="242">
        <f t="shared" si="1"/>
        <v>152</v>
      </c>
      <c r="H31" s="242">
        <f t="shared" si="1"/>
        <v>0</v>
      </c>
      <c r="I31" s="242">
        <f t="shared" si="1"/>
        <v>0</v>
      </c>
      <c r="J31" s="242">
        <f t="shared" si="1"/>
        <v>0</v>
      </c>
      <c r="K31" s="242">
        <f t="shared" si="1"/>
        <v>0</v>
      </c>
      <c r="L31" s="242">
        <f t="shared" si="1"/>
        <v>0</v>
      </c>
      <c r="M31" s="242">
        <f t="shared" si="1"/>
        <v>0</v>
      </c>
      <c r="N31" s="242">
        <f t="shared" si="1"/>
        <v>0</v>
      </c>
      <c r="O31" s="242">
        <f t="shared" si="1"/>
        <v>0</v>
      </c>
      <c r="P31" s="242">
        <f t="shared" si="1"/>
        <v>0</v>
      </c>
      <c r="S31" s="223">
        <f>COUNTIF(E31:P31,"&gt;0")</f>
        <v>3</v>
      </c>
    </row>
    <row r="32" spans="1:19" ht="12.75">
      <c r="A32" s="646" t="s">
        <v>298</v>
      </c>
      <c r="B32" s="647"/>
      <c r="C32" s="241" t="s">
        <v>174</v>
      </c>
      <c r="D32" s="242">
        <f>ROUND((E32+F32+G32+H32+I32+J32+K32+L32+M32+N32+O32+P32)/S32,0)</f>
        <v>152</v>
      </c>
      <c r="E32" s="242">
        <f>E27</f>
        <v>152</v>
      </c>
      <c r="F32" s="242">
        <f aca="true" t="shared" si="2" ref="F32:P32">F27</f>
        <v>152</v>
      </c>
      <c r="G32" s="242">
        <f t="shared" si="2"/>
        <v>152</v>
      </c>
      <c r="H32" s="242">
        <f t="shared" si="2"/>
        <v>0</v>
      </c>
      <c r="I32" s="242">
        <f t="shared" si="2"/>
        <v>0</v>
      </c>
      <c r="J32" s="242">
        <f t="shared" si="2"/>
        <v>0</v>
      </c>
      <c r="K32" s="242">
        <f t="shared" si="2"/>
        <v>0</v>
      </c>
      <c r="L32" s="242">
        <f t="shared" si="2"/>
        <v>0</v>
      </c>
      <c r="M32" s="242">
        <f t="shared" si="2"/>
        <v>0</v>
      </c>
      <c r="N32" s="242">
        <f t="shared" si="2"/>
        <v>0</v>
      </c>
      <c r="O32" s="242">
        <f t="shared" si="2"/>
        <v>0</v>
      </c>
      <c r="P32" s="242">
        <f t="shared" si="2"/>
        <v>0</v>
      </c>
      <c r="S32" s="223">
        <f>COUNTIF(E32:P32,"&gt;0")</f>
        <v>3</v>
      </c>
    </row>
    <row r="33" spans="1:19" ht="13.5" customHeight="1">
      <c r="A33" s="646" t="s">
        <v>299</v>
      </c>
      <c r="B33" s="647"/>
      <c r="C33" s="241" t="s">
        <v>174</v>
      </c>
      <c r="D33" s="242">
        <f>ROUND((E33+F33+G33+H33+I33+J33+K33+L33+M33+N33+O33+P33)/S33,0)</f>
        <v>152</v>
      </c>
      <c r="E33" s="242">
        <f aca="true" t="shared" si="3" ref="E33:P34">E28</f>
        <v>152</v>
      </c>
      <c r="F33" s="242">
        <f t="shared" si="3"/>
        <v>152</v>
      </c>
      <c r="G33" s="242">
        <f t="shared" si="3"/>
        <v>152</v>
      </c>
      <c r="H33" s="242">
        <f t="shared" si="3"/>
        <v>0</v>
      </c>
      <c r="I33" s="242">
        <f t="shared" si="3"/>
        <v>0</v>
      </c>
      <c r="J33" s="242">
        <f t="shared" si="3"/>
        <v>0</v>
      </c>
      <c r="K33" s="242">
        <f t="shared" si="3"/>
        <v>0</v>
      </c>
      <c r="L33" s="242">
        <f t="shared" si="3"/>
        <v>0</v>
      </c>
      <c r="M33" s="242">
        <f t="shared" si="3"/>
        <v>0</v>
      </c>
      <c r="N33" s="242">
        <f t="shared" si="3"/>
        <v>0</v>
      </c>
      <c r="O33" s="242">
        <f t="shared" si="3"/>
        <v>0</v>
      </c>
      <c r="P33" s="242">
        <f t="shared" si="3"/>
        <v>0</v>
      </c>
      <c r="S33" s="223">
        <f>COUNTIF(E33:P33,"&gt;0")</f>
        <v>3</v>
      </c>
    </row>
    <row r="34" spans="1:19" ht="13.5" customHeight="1">
      <c r="A34" s="646" t="s">
        <v>300</v>
      </c>
      <c r="B34" s="647"/>
      <c r="C34" s="241" t="s">
        <v>174</v>
      </c>
      <c r="D34" s="242">
        <f>ROUND((E34+F34+G34+H34+I34+J34+K34+L34+M34+N34+O34+P34)/S34,0)</f>
        <v>152</v>
      </c>
      <c r="E34" s="242">
        <f t="shared" si="3"/>
        <v>152</v>
      </c>
      <c r="F34" s="242">
        <f t="shared" si="3"/>
        <v>152</v>
      </c>
      <c r="G34" s="242">
        <f t="shared" si="3"/>
        <v>152</v>
      </c>
      <c r="H34" s="242">
        <f t="shared" si="3"/>
        <v>0</v>
      </c>
      <c r="I34" s="242">
        <f t="shared" si="3"/>
        <v>0</v>
      </c>
      <c r="J34" s="242">
        <f t="shared" si="3"/>
        <v>0</v>
      </c>
      <c r="K34" s="242">
        <f t="shared" si="3"/>
        <v>0</v>
      </c>
      <c r="L34" s="242">
        <f t="shared" si="3"/>
        <v>0</v>
      </c>
      <c r="M34" s="242">
        <f t="shared" si="3"/>
        <v>0</v>
      </c>
      <c r="N34" s="242">
        <f t="shared" si="3"/>
        <v>0</v>
      </c>
      <c r="O34" s="242">
        <f t="shared" si="3"/>
        <v>0</v>
      </c>
      <c r="P34" s="242">
        <f t="shared" si="3"/>
        <v>0</v>
      </c>
      <c r="S34" s="223">
        <f>COUNTIF(E34:P34,"&gt;0")</f>
        <v>3</v>
      </c>
    </row>
    <row r="38" spans="1:17" s="235" customFormat="1" ht="15">
      <c r="A38" s="235" t="s">
        <v>303</v>
      </c>
      <c r="Q38" s="236"/>
    </row>
    <row r="40" spans="1:16" ht="31.5" customHeight="1">
      <c r="A40" s="641" t="s">
        <v>293</v>
      </c>
      <c r="B40" s="642"/>
      <c r="C40" s="641" t="s">
        <v>304</v>
      </c>
      <c r="D40" s="642"/>
      <c r="E40" s="238"/>
      <c r="F40" s="238"/>
      <c r="G40" s="238"/>
      <c r="H40" s="238"/>
      <c r="I40" s="238"/>
      <c r="J40" s="238"/>
      <c r="K40" s="238"/>
      <c r="L40" s="238"/>
      <c r="M40" s="238"/>
      <c r="N40" s="641" t="s">
        <v>305</v>
      </c>
      <c r="O40" s="648"/>
      <c r="P40" s="642"/>
    </row>
    <row r="41" spans="1:16" ht="19.5" customHeight="1">
      <c r="A41" s="643" t="s">
        <v>296</v>
      </c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5"/>
    </row>
    <row r="42" spans="1:18" ht="67.5" customHeight="1">
      <c r="A42" s="649" t="s">
        <v>306</v>
      </c>
      <c r="B42" s="650"/>
      <c r="C42" s="651">
        <f>C43+C46</f>
        <v>4001.24022</v>
      </c>
      <c r="D42" s="652"/>
      <c r="E42" s="283">
        <f>E43+E46</f>
        <v>998.975</v>
      </c>
      <c r="F42" s="283">
        <f aca="true" t="shared" si="4" ref="F42:P42">F43+F46</f>
        <v>1474.89918</v>
      </c>
      <c r="G42" s="283">
        <f t="shared" si="4"/>
        <v>1527.3660399999999</v>
      </c>
      <c r="H42" s="283">
        <f t="shared" si="4"/>
        <v>0</v>
      </c>
      <c r="I42" s="283">
        <f t="shared" si="4"/>
        <v>0</v>
      </c>
      <c r="J42" s="283">
        <f t="shared" si="4"/>
        <v>0</v>
      </c>
      <c r="K42" s="283">
        <f t="shared" si="4"/>
        <v>0</v>
      </c>
      <c r="L42" s="283">
        <f t="shared" si="4"/>
        <v>0</v>
      </c>
      <c r="M42" s="283">
        <f t="shared" si="4"/>
        <v>0</v>
      </c>
      <c r="N42" s="283">
        <f t="shared" si="4"/>
        <v>0</v>
      </c>
      <c r="O42" s="283">
        <f t="shared" si="4"/>
        <v>0</v>
      </c>
      <c r="P42" s="283">
        <f t="shared" si="4"/>
        <v>0</v>
      </c>
      <c r="Q42" s="243">
        <f>Q43+Q46</f>
        <v>0</v>
      </c>
      <c r="R42" s="243">
        <f>R43+R46</f>
        <v>0</v>
      </c>
    </row>
    <row r="43" spans="1:17" s="245" customFormat="1" ht="67.5" customHeight="1">
      <c r="A43" s="653" t="s">
        <v>307</v>
      </c>
      <c r="B43" s="654"/>
      <c r="C43" s="655">
        <f>SUM(C44:D45)</f>
        <v>3897.19822</v>
      </c>
      <c r="D43" s="656"/>
      <c r="E43" s="363">
        <f>SUM(E44:E45)</f>
        <v>894.933</v>
      </c>
      <c r="F43" s="363">
        <f aca="true" t="shared" si="5" ref="F43:M43">SUM(F44:F45)</f>
        <v>1474.89918</v>
      </c>
      <c r="G43" s="363">
        <f t="shared" si="5"/>
        <v>1527.3660399999999</v>
      </c>
      <c r="H43" s="363">
        <f t="shared" si="5"/>
        <v>0</v>
      </c>
      <c r="I43" s="363">
        <f t="shared" si="5"/>
        <v>0</v>
      </c>
      <c r="J43" s="363">
        <f t="shared" si="5"/>
        <v>0</v>
      </c>
      <c r="K43" s="363">
        <f t="shared" si="5"/>
        <v>0</v>
      </c>
      <c r="L43" s="363">
        <f t="shared" si="5"/>
        <v>0</v>
      </c>
      <c r="M43" s="363">
        <f t="shared" si="5"/>
        <v>0</v>
      </c>
      <c r="N43" s="363">
        <f>SUM(N44:N45)</f>
        <v>0</v>
      </c>
      <c r="O43" s="363">
        <f>SUM(O44:O45)</f>
        <v>0</v>
      </c>
      <c r="P43" s="363">
        <f>SUM(P44:P45)</f>
        <v>0</v>
      </c>
      <c r="Q43" s="244"/>
    </row>
    <row r="44" spans="1:16" ht="15.75" customHeight="1">
      <c r="A44" s="646" t="s">
        <v>298</v>
      </c>
      <c r="B44" s="647"/>
      <c r="C44" s="657">
        <f>SUM(E44:P44)</f>
        <v>2030.011</v>
      </c>
      <c r="D44" s="658"/>
      <c r="E44" s="246">
        <f>'[1]вспомогательная таблица'!C17/1000</f>
        <v>338.335</v>
      </c>
      <c r="F44" s="246">
        <f>'[1]вспомогательная таблица'!D17/1000</f>
        <v>845.838</v>
      </c>
      <c r="G44" s="246">
        <f>'[1]вспомогательная таблица'!E17/1000</f>
        <v>845.838</v>
      </c>
      <c r="H44" s="246"/>
      <c r="I44" s="246"/>
      <c r="J44" s="246"/>
      <c r="K44" s="246"/>
      <c r="L44" s="246"/>
      <c r="M44" s="246"/>
      <c r="N44" s="247"/>
      <c r="O44" s="247"/>
      <c r="P44" s="247"/>
    </row>
    <row r="45" spans="1:20" ht="15" customHeight="1">
      <c r="A45" s="646" t="s">
        <v>308</v>
      </c>
      <c r="B45" s="647"/>
      <c r="C45" s="657">
        <f>SUM(E45:P45)</f>
        <v>1867.18722</v>
      </c>
      <c r="D45" s="658"/>
      <c r="E45" s="246">
        <f>'[1]вспомогательная таблица'!C18/1000</f>
        <v>556.598</v>
      </c>
      <c r="F45" s="246">
        <f>'[1]вспомогательная таблица'!D18/1000</f>
        <v>629.06118</v>
      </c>
      <c r="G45" s="246">
        <f>'[1]вспомогательная таблица'!E18/1000</f>
        <v>681.5280399999999</v>
      </c>
      <c r="H45" s="246"/>
      <c r="I45" s="246"/>
      <c r="J45" s="246"/>
      <c r="K45" s="246"/>
      <c r="L45" s="246"/>
      <c r="M45" s="246"/>
      <c r="N45" s="248"/>
      <c r="O45" s="248"/>
      <c r="P45" s="248"/>
      <c r="T45" s="249"/>
    </row>
    <row r="46" spans="1:20" s="245" customFormat="1" ht="68.25" customHeight="1">
      <c r="A46" s="653" t="s">
        <v>309</v>
      </c>
      <c r="B46" s="654"/>
      <c r="C46" s="655">
        <f>C47</f>
        <v>104.042</v>
      </c>
      <c r="D46" s="656"/>
      <c r="E46" s="363">
        <f aca="true" t="shared" si="6" ref="E46:P46">E47</f>
        <v>104.042</v>
      </c>
      <c r="F46" s="363">
        <f t="shared" si="6"/>
        <v>0</v>
      </c>
      <c r="G46" s="363">
        <f t="shared" si="6"/>
        <v>0</v>
      </c>
      <c r="H46" s="363">
        <f t="shared" si="6"/>
        <v>0</v>
      </c>
      <c r="I46" s="363">
        <f t="shared" si="6"/>
        <v>0</v>
      </c>
      <c r="J46" s="363">
        <f t="shared" si="6"/>
        <v>0</v>
      </c>
      <c r="K46" s="363">
        <f t="shared" si="6"/>
        <v>0</v>
      </c>
      <c r="L46" s="363">
        <f t="shared" si="6"/>
        <v>0</v>
      </c>
      <c r="M46" s="363">
        <f t="shared" si="6"/>
        <v>0</v>
      </c>
      <c r="N46" s="363">
        <f t="shared" si="6"/>
        <v>0</v>
      </c>
      <c r="O46" s="363">
        <f t="shared" si="6"/>
        <v>0</v>
      </c>
      <c r="P46" s="363">
        <f t="shared" si="6"/>
        <v>0</v>
      </c>
      <c r="Q46" s="244"/>
      <c r="T46" s="250"/>
    </row>
    <row r="47" spans="1:20" ht="15" customHeight="1">
      <c r="A47" s="646" t="s">
        <v>300</v>
      </c>
      <c r="B47" s="647"/>
      <c r="C47" s="657">
        <f>SUM(E47:P47)</f>
        <v>104.042</v>
      </c>
      <c r="D47" s="658"/>
      <c r="E47" s="246">
        <f>'[1]вспомогательная таблица'!C19/1000</f>
        <v>104.042</v>
      </c>
      <c r="F47" s="246">
        <f>'[1]вспомогательная таблица'!D19/1000</f>
        <v>0</v>
      </c>
      <c r="G47" s="246">
        <f>'[1]вспомогательная таблица'!E19/1000</f>
        <v>0</v>
      </c>
      <c r="H47" s="246"/>
      <c r="I47" s="246"/>
      <c r="J47" s="246"/>
      <c r="K47" s="246"/>
      <c r="L47" s="246"/>
      <c r="M47" s="246"/>
      <c r="N47" s="251"/>
      <c r="O47" s="251"/>
      <c r="P47" s="251"/>
      <c r="T47" s="249"/>
    </row>
    <row r="48" spans="1:20" s="245" customFormat="1" ht="65.25" customHeight="1">
      <c r="A48" s="653" t="s">
        <v>310</v>
      </c>
      <c r="B48" s="654"/>
      <c r="C48" s="659">
        <f>SUM(C49:D56)</f>
        <v>30.075</v>
      </c>
      <c r="D48" s="660"/>
      <c r="E48" s="362">
        <f>SUM(E49:E56)</f>
        <v>30.075</v>
      </c>
      <c r="F48" s="362">
        <f>SUM(F49:F56)</f>
        <v>0</v>
      </c>
      <c r="G48" s="362">
        <f>SUM(E49:E56)</f>
        <v>30.075</v>
      </c>
      <c r="H48" s="362">
        <f aca="true" t="shared" si="7" ref="H48:P48">SUM(H49:H56)</f>
        <v>0</v>
      </c>
      <c r="I48" s="362">
        <f t="shared" si="7"/>
        <v>0</v>
      </c>
      <c r="J48" s="362">
        <f t="shared" si="7"/>
        <v>0</v>
      </c>
      <c r="K48" s="362">
        <f t="shared" si="7"/>
        <v>0</v>
      </c>
      <c r="L48" s="362">
        <f t="shared" si="7"/>
        <v>0</v>
      </c>
      <c r="M48" s="362">
        <f t="shared" si="7"/>
        <v>0</v>
      </c>
      <c r="N48" s="362">
        <f t="shared" si="7"/>
        <v>0</v>
      </c>
      <c r="O48" s="362">
        <f t="shared" si="7"/>
        <v>0</v>
      </c>
      <c r="P48" s="362">
        <f t="shared" si="7"/>
        <v>0</v>
      </c>
      <c r="Q48" s="244"/>
      <c r="T48" s="250"/>
    </row>
    <row r="49" spans="1:20" ht="27" customHeight="1">
      <c r="A49" s="646" t="s">
        <v>311</v>
      </c>
      <c r="B49" s="647"/>
      <c r="C49" s="657">
        <f aca="true" t="shared" si="8" ref="C49:C56">SUM(E49:P49)</f>
        <v>0</v>
      </c>
      <c r="D49" s="658"/>
      <c r="E49" s="246"/>
      <c r="F49" s="246"/>
      <c r="G49" s="246"/>
      <c r="H49" s="246"/>
      <c r="I49" s="246"/>
      <c r="J49" s="246"/>
      <c r="K49" s="246"/>
      <c r="L49" s="246"/>
      <c r="M49" s="246"/>
      <c r="N49" s="251"/>
      <c r="O49" s="251"/>
      <c r="P49" s="251"/>
      <c r="T49" s="249"/>
    </row>
    <row r="50" spans="1:20" ht="27.75" customHeight="1">
      <c r="A50" s="646" t="s">
        <v>223</v>
      </c>
      <c r="B50" s="647"/>
      <c r="C50" s="657">
        <f t="shared" si="8"/>
        <v>0</v>
      </c>
      <c r="D50" s="658"/>
      <c r="E50" s="246"/>
      <c r="F50" s="246"/>
      <c r="G50" s="246"/>
      <c r="H50" s="246"/>
      <c r="I50" s="246"/>
      <c r="J50" s="246"/>
      <c r="K50" s="246"/>
      <c r="L50" s="246"/>
      <c r="M50" s="246"/>
      <c r="N50" s="251"/>
      <c r="O50" s="251"/>
      <c r="P50" s="251"/>
      <c r="T50" s="249"/>
    </row>
    <row r="51" spans="1:20" ht="26.25" customHeight="1">
      <c r="A51" s="646" t="s">
        <v>224</v>
      </c>
      <c r="B51" s="647"/>
      <c r="C51" s="657">
        <f t="shared" si="8"/>
        <v>0</v>
      </c>
      <c r="D51" s="658"/>
      <c r="E51" s="246"/>
      <c r="F51" s="246"/>
      <c r="G51" s="246"/>
      <c r="H51" s="246"/>
      <c r="I51" s="246"/>
      <c r="J51" s="246"/>
      <c r="K51" s="246"/>
      <c r="L51" s="246"/>
      <c r="M51" s="246"/>
      <c r="N51" s="251"/>
      <c r="O51" s="251"/>
      <c r="P51" s="251"/>
      <c r="T51" s="249"/>
    </row>
    <row r="52" spans="1:20" ht="52.5" customHeight="1">
      <c r="A52" s="646" t="s">
        <v>225</v>
      </c>
      <c r="B52" s="647"/>
      <c r="C52" s="657">
        <f t="shared" si="8"/>
        <v>0</v>
      </c>
      <c r="D52" s="658"/>
      <c r="E52" s="246"/>
      <c r="F52" s="246"/>
      <c r="G52" s="246"/>
      <c r="H52" s="246"/>
      <c r="I52" s="246"/>
      <c r="J52" s="246"/>
      <c r="K52" s="246"/>
      <c r="L52" s="246"/>
      <c r="M52" s="246"/>
      <c r="N52" s="251"/>
      <c r="O52" s="251"/>
      <c r="P52" s="251"/>
      <c r="T52" s="249"/>
    </row>
    <row r="53" spans="1:20" ht="30" customHeight="1">
      <c r="A53" s="646" t="s">
        <v>312</v>
      </c>
      <c r="B53" s="647"/>
      <c r="C53" s="657">
        <f t="shared" si="8"/>
        <v>0</v>
      </c>
      <c r="D53" s="658"/>
      <c r="E53" s="246"/>
      <c r="F53" s="246"/>
      <c r="G53" s="246"/>
      <c r="H53" s="246"/>
      <c r="I53" s="246"/>
      <c r="J53" s="246"/>
      <c r="K53" s="246"/>
      <c r="L53" s="246"/>
      <c r="M53" s="246"/>
      <c r="N53" s="251"/>
      <c r="O53" s="251"/>
      <c r="P53" s="251"/>
      <c r="T53" s="249"/>
    </row>
    <row r="54" spans="1:20" ht="15" customHeight="1">
      <c r="A54" s="646" t="s">
        <v>226</v>
      </c>
      <c r="B54" s="647"/>
      <c r="C54" s="657">
        <f t="shared" si="8"/>
        <v>0</v>
      </c>
      <c r="D54" s="658"/>
      <c r="E54" s="246">
        <f>'[1]мун.задание'!D135/1000</f>
        <v>0</v>
      </c>
      <c r="F54" s="246">
        <f>'[1]мун.задание'!E135/1000</f>
        <v>0</v>
      </c>
      <c r="G54" s="246">
        <f>'[1]мун.задание'!F135/1000</f>
        <v>0</v>
      </c>
      <c r="H54" s="246"/>
      <c r="I54" s="246"/>
      <c r="J54" s="246"/>
      <c r="K54" s="246"/>
      <c r="L54" s="246"/>
      <c r="M54" s="246"/>
      <c r="N54" s="251"/>
      <c r="O54" s="251"/>
      <c r="P54" s="251"/>
      <c r="T54" s="249"/>
    </row>
    <row r="55" spans="1:20" ht="27.75" customHeight="1">
      <c r="A55" s="646" t="s">
        <v>227</v>
      </c>
      <c r="B55" s="647"/>
      <c r="C55" s="657">
        <f t="shared" si="8"/>
        <v>0</v>
      </c>
      <c r="D55" s="658"/>
      <c r="E55" s="246"/>
      <c r="F55" s="246"/>
      <c r="G55" s="246"/>
      <c r="H55" s="246"/>
      <c r="I55" s="246"/>
      <c r="J55" s="246"/>
      <c r="K55" s="246"/>
      <c r="L55" s="246"/>
      <c r="M55" s="246"/>
      <c r="N55" s="251"/>
      <c r="O55" s="251"/>
      <c r="P55" s="251"/>
      <c r="T55" s="249"/>
    </row>
    <row r="56" spans="1:20" ht="30.75" customHeight="1">
      <c r="A56" s="646" t="s">
        <v>228</v>
      </c>
      <c r="B56" s="647"/>
      <c r="C56" s="657">
        <f t="shared" si="8"/>
        <v>30.075</v>
      </c>
      <c r="D56" s="658"/>
      <c r="E56" s="246">
        <f>'[1]мун.задание'!D138/1000</f>
        <v>30.075</v>
      </c>
      <c r="F56" s="246">
        <f>'[1]мун.задание'!E138/1000</f>
        <v>0</v>
      </c>
      <c r="G56" s="246">
        <f>'[1]мун.задание'!F138/1000</f>
        <v>0</v>
      </c>
      <c r="H56" s="246"/>
      <c r="I56" s="246"/>
      <c r="J56" s="246"/>
      <c r="K56" s="246"/>
      <c r="L56" s="246"/>
      <c r="M56" s="246"/>
      <c r="N56" s="251"/>
      <c r="O56" s="251"/>
      <c r="P56" s="251"/>
      <c r="T56" s="249"/>
    </row>
    <row r="57" spans="1:20" ht="21.75" customHeight="1">
      <c r="A57" s="643" t="s">
        <v>301</v>
      </c>
      <c r="B57" s="644"/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5"/>
      <c r="T57" s="249"/>
    </row>
    <row r="58" spans="1:20" s="253" customFormat="1" ht="54.75" customHeight="1">
      <c r="A58" s="649" t="s">
        <v>306</v>
      </c>
      <c r="B58" s="650"/>
      <c r="C58" s="651">
        <f>C59+C62</f>
        <v>4001.2402199999997</v>
      </c>
      <c r="D58" s="652"/>
      <c r="E58" s="283">
        <f aca="true" t="shared" si="9" ref="E58:P58">E59+E62</f>
        <v>1079.70625</v>
      </c>
      <c r="F58" s="283">
        <f t="shared" si="9"/>
        <v>1509.3923</v>
      </c>
      <c r="G58" s="283">
        <f t="shared" si="9"/>
        <v>1412.14167</v>
      </c>
      <c r="H58" s="283">
        <f t="shared" si="9"/>
        <v>0</v>
      </c>
      <c r="I58" s="283">
        <f t="shared" si="9"/>
        <v>0</v>
      </c>
      <c r="J58" s="283">
        <f t="shared" si="9"/>
        <v>0</v>
      </c>
      <c r="K58" s="283">
        <f t="shared" si="9"/>
        <v>0</v>
      </c>
      <c r="L58" s="283">
        <f t="shared" si="9"/>
        <v>0</v>
      </c>
      <c r="M58" s="283">
        <f t="shared" si="9"/>
        <v>0</v>
      </c>
      <c r="N58" s="283">
        <f t="shared" si="9"/>
        <v>0</v>
      </c>
      <c r="O58" s="283">
        <f t="shared" si="9"/>
        <v>0</v>
      </c>
      <c r="P58" s="283">
        <f t="shared" si="9"/>
        <v>0</v>
      </c>
      <c r="Q58" s="252"/>
      <c r="T58" s="254"/>
    </row>
    <row r="59" spans="1:20" ht="51.75" customHeight="1">
      <c r="A59" s="653" t="s">
        <v>307</v>
      </c>
      <c r="B59" s="654"/>
      <c r="C59" s="655">
        <f>SUM(C60:D61)</f>
        <v>3897.1982199999998</v>
      </c>
      <c r="D59" s="656"/>
      <c r="E59" s="363">
        <f aca="true" t="shared" si="10" ref="E59:P59">SUM(E60:E61)</f>
        <v>993.58825</v>
      </c>
      <c r="F59" s="363">
        <f t="shared" si="10"/>
        <v>1509.3923</v>
      </c>
      <c r="G59" s="363">
        <f t="shared" si="10"/>
        <v>1394.21767</v>
      </c>
      <c r="H59" s="363">
        <f t="shared" si="10"/>
        <v>0</v>
      </c>
      <c r="I59" s="363">
        <f t="shared" si="10"/>
        <v>0</v>
      </c>
      <c r="J59" s="363">
        <f t="shared" si="10"/>
        <v>0</v>
      </c>
      <c r="K59" s="363">
        <f t="shared" si="10"/>
        <v>0</v>
      </c>
      <c r="L59" s="363">
        <f t="shared" si="10"/>
        <v>0</v>
      </c>
      <c r="M59" s="363">
        <f t="shared" si="10"/>
        <v>0</v>
      </c>
      <c r="N59" s="363">
        <f t="shared" si="10"/>
        <v>0</v>
      </c>
      <c r="O59" s="363">
        <f t="shared" si="10"/>
        <v>0</v>
      </c>
      <c r="P59" s="363">
        <f t="shared" si="10"/>
        <v>0</v>
      </c>
      <c r="T59" s="249"/>
    </row>
    <row r="60" spans="1:20" ht="12.75">
      <c r="A60" s="646" t="s">
        <v>298</v>
      </c>
      <c r="B60" s="647"/>
      <c r="C60" s="657">
        <f>SUM(E60:P60)</f>
        <v>2217.451</v>
      </c>
      <c r="D60" s="658"/>
      <c r="E60" s="246">
        <f>'[1]касса'!C17/1000</f>
        <v>525.775</v>
      </c>
      <c r="F60" s="246">
        <f>'[1]касса'!D17/1000</f>
        <v>845.838</v>
      </c>
      <c r="G60" s="246">
        <f>'[1]касса'!E17/1000</f>
        <v>845.838</v>
      </c>
      <c r="H60" s="246"/>
      <c r="I60" s="246"/>
      <c r="J60" s="246"/>
      <c r="K60" s="246"/>
      <c r="L60" s="246"/>
      <c r="M60" s="246"/>
      <c r="N60" s="247"/>
      <c r="O60" s="247"/>
      <c r="P60" s="247"/>
      <c r="T60" s="249"/>
    </row>
    <row r="61" spans="1:20" ht="12.75">
      <c r="A61" s="646" t="s">
        <v>308</v>
      </c>
      <c r="B61" s="647"/>
      <c r="C61" s="657">
        <f>SUM(E61:P61)</f>
        <v>1679.7472199999997</v>
      </c>
      <c r="D61" s="658"/>
      <c r="E61" s="246">
        <f>'[1]касса'!C18/1000</f>
        <v>467.81325</v>
      </c>
      <c r="F61" s="246">
        <f>'[1]касса'!D18/1000</f>
        <v>663.5543</v>
      </c>
      <c r="G61" s="246">
        <f>'[1]касса'!E18/1000</f>
        <v>548.3796699999999</v>
      </c>
      <c r="H61" s="246"/>
      <c r="I61" s="246"/>
      <c r="J61" s="246"/>
      <c r="K61" s="246"/>
      <c r="L61" s="246"/>
      <c r="M61" s="246"/>
      <c r="N61" s="248"/>
      <c r="O61" s="248"/>
      <c r="P61" s="248"/>
      <c r="T61" s="249"/>
    </row>
    <row r="62" spans="1:21" ht="54" customHeight="1">
      <c r="A62" s="653" t="s">
        <v>309</v>
      </c>
      <c r="B62" s="654"/>
      <c r="C62" s="655">
        <f>C63</f>
        <v>104.042</v>
      </c>
      <c r="D62" s="656"/>
      <c r="E62" s="363">
        <f aca="true" t="shared" si="11" ref="E62:P62">E63</f>
        <v>86.118</v>
      </c>
      <c r="F62" s="363">
        <f t="shared" si="11"/>
        <v>0</v>
      </c>
      <c r="G62" s="363">
        <f t="shared" si="11"/>
        <v>17.924</v>
      </c>
      <c r="H62" s="363">
        <f t="shared" si="11"/>
        <v>0</v>
      </c>
      <c r="I62" s="363">
        <f t="shared" si="11"/>
        <v>0</v>
      </c>
      <c r="J62" s="363">
        <f t="shared" si="11"/>
        <v>0</v>
      </c>
      <c r="K62" s="363">
        <f t="shared" si="11"/>
        <v>0</v>
      </c>
      <c r="L62" s="363">
        <f t="shared" si="11"/>
        <v>0</v>
      </c>
      <c r="M62" s="363">
        <f t="shared" si="11"/>
        <v>0</v>
      </c>
      <c r="N62" s="363">
        <f t="shared" si="11"/>
        <v>0</v>
      </c>
      <c r="O62" s="363">
        <f t="shared" si="11"/>
        <v>0</v>
      </c>
      <c r="P62" s="363">
        <f t="shared" si="11"/>
        <v>0</v>
      </c>
      <c r="T62" s="249"/>
      <c r="U62" s="249"/>
    </row>
    <row r="63" spans="1:21" ht="16.5" customHeight="1">
      <c r="A63" s="646" t="s">
        <v>300</v>
      </c>
      <c r="B63" s="647"/>
      <c r="C63" s="657">
        <f>SUM(E63:P63)</f>
        <v>104.042</v>
      </c>
      <c r="D63" s="658"/>
      <c r="E63" s="246">
        <f>'[1]касса'!C19/1000</f>
        <v>86.118</v>
      </c>
      <c r="F63" s="246">
        <f>'[1]касса'!D19/1000</f>
        <v>0</v>
      </c>
      <c r="G63" s="246">
        <f>'[1]касса'!E19/1000</f>
        <v>17.924</v>
      </c>
      <c r="H63" s="246"/>
      <c r="I63" s="246"/>
      <c r="J63" s="246"/>
      <c r="K63" s="246"/>
      <c r="L63" s="246"/>
      <c r="M63" s="246"/>
      <c r="N63" s="246"/>
      <c r="O63" s="246"/>
      <c r="P63" s="246"/>
      <c r="T63" s="249"/>
      <c r="U63" s="249"/>
    </row>
    <row r="64" spans="1:19" ht="53.25" customHeight="1">
      <c r="A64" s="653" t="s">
        <v>310</v>
      </c>
      <c r="B64" s="654"/>
      <c r="C64" s="659">
        <f>SUM(C65:D72)</f>
        <v>30.075</v>
      </c>
      <c r="D64" s="660"/>
      <c r="E64" s="362">
        <f aca="true" t="shared" si="12" ref="E64:P64">SUM(E65:E72)</f>
        <v>20</v>
      </c>
      <c r="F64" s="362">
        <f t="shared" si="12"/>
        <v>0</v>
      </c>
      <c r="G64" s="362">
        <f t="shared" si="12"/>
        <v>10.075</v>
      </c>
      <c r="H64" s="362">
        <f t="shared" si="12"/>
        <v>0</v>
      </c>
      <c r="I64" s="362">
        <f t="shared" si="12"/>
        <v>0</v>
      </c>
      <c r="J64" s="362">
        <f t="shared" si="12"/>
        <v>0</v>
      </c>
      <c r="K64" s="362">
        <f t="shared" si="12"/>
        <v>0</v>
      </c>
      <c r="L64" s="362">
        <f t="shared" si="12"/>
        <v>0</v>
      </c>
      <c r="M64" s="362">
        <f t="shared" si="12"/>
        <v>0</v>
      </c>
      <c r="N64" s="362">
        <f t="shared" si="12"/>
        <v>0</v>
      </c>
      <c r="O64" s="362">
        <f t="shared" si="12"/>
        <v>0</v>
      </c>
      <c r="P64" s="362">
        <f t="shared" si="12"/>
        <v>0</v>
      </c>
      <c r="Q64" s="223"/>
      <c r="R64" s="249"/>
      <c r="S64" s="249"/>
    </row>
    <row r="65" spans="1:21" ht="28.5" customHeight="1">
      <c r="A65" s="646" t="s">
        <v>311</v>
      </c>
      <c r="B65" s="647"/>
      <c r="C65" s="657">
        <f aca="true" t="shared" si="13" ref="C65:C72">SUM(E65:P65)</f>
        <v>0</v>
      </c>
      <c r="D65" s="658"/>
      <c r="E65" s="246"/>
      <c r="F65" s="246"/>
      <c r="G65" s="246"/>
      <c r="H65" s="246"/>
      <c r="I65" s="246"/>
      <c r="J65" s="246"/>
      <c r="K65" s="246"/>
      <c r="L65" s="246"/>
      <c r="M65" s="246"/>
      <c r="N65" s="251"/>
      <c r="O65" s="251"/>
      <c r="P65" s="251"/>
      <c r="T65" s="249"/>
      <c r="U65" s="249"/>
    </row>
    <row r="66" spans="1:21" ht="15.75" customHeight="1">
      <c r="A66" s="646" t="s">
        <v>223</v>
      </c>
      <c r="B66" s="647"/>
      <c r="C66" s="657">
        <f t="shared" si="13"/>
        <v>0</v>
      </c>
      <c r="D66" s="658"/>
      <c r="E66" s="246"/>
      <c r="F66" s="246"/>
      <c r="G66" s="246"/>
      <c r="H66" s="246"/>
      <c r="I66" s="246"/>
      <c r="J66" s="246"/>
      <c r="K66" s="246"/>
      <c r="L66" s="246"/>
      <c r="M66" s="246"/>
      <c r="N66" s="251"/>
      <c r="O66" s="251"/>
      <c r="P66" s="251"/>
      <c r="T66" s="249"/>
      <c r="U66" s="249"/>
    </row>
    <row r="67" spans="1:21" ht="27.75" customHeight="1">
      <c r="A67" s="646" t="s">
        <v>224</v>
      </c>
      <c r="B67" s="647"/>
      <c r="C67" s="657">
        <f t="shared" si="13"/>
        <v>0</v>
      </c>
      <c r="D67" s="658"/>
      <c r="E67" s="246"/>
      <c r="F67" s="246"/>
      <c r="G67" s="246"/>
      <c r="H67" s="246"/>
      <c r="I67" s="246"/>
      <c r="J67" s="246"/>
      <c r="K67" s="246"/>
      <c r="L67" s="246"/>
      <c r="M67" s="246"/>
      <c r="N67" s="251"/>
      <c r="O67" s="251"/>
      <c r="P67" s="251"/>
      <c r="T67" s="249"/>
      <c r="U67" s="249"/>
    </row>
    <row r="68" spans="1:21" ht="27.75" customHeight="1">
      <c r="A68" s="646" t="s">
        <v>225</v>
      </c>
      <c r="B68" s="647"/>
      <c r="C68" s="657">
        <f t="shared" si="13"/>
        <v>0</v>
      </c>
      <c r="D68" s="658"/>
      <c r="E68" s="246"/>
      <c r="F68" s="246"/>
      <c r="G68" s="246"/>
      <c r="H68" s="246"/>
      <c r="I68" s="246"/>
      <c r="J68" s="246"/>
      <c r="K68" s="246"/>
      <c r="L68" s="246"/>
      <c r="M68" s="246"/>
      <c r="N68" s="251"/>
      <c r="O68" s="251"/>
      <c r="P68" s="251"/>
      <c r="T68" s="249"/>
      <c r="U68" s="249"/>
    </row>
    <row r="69" spans="1:21" ht="27" customHeight="1">
      <c r="A69" s="646" t="s">
        <v>312</v>
      </c>
      <c r="B69" s="647"/>
      <c r="C69" s="657">
        <f t="shared" si="13"/>
        <v>0</v>
      </c>
      <c r="D69" s="658"/>
      <c r="E69" s="246"/>
      <c r="F69" s="246"/>
      <c r="G69" s="246"/>
      <c r="H69" s="246"/>
      <c r="I69" s="246"/>
      <c r="J69" s="246"/>
      <c r="K69" s="246"/>
      <c r="L69" s="246"/>
      <c r="M69" s="246"/>
      <c r="N69" s="251"/>
      <c r="O69" s="251"/>
      <c r="P69" s="251"/>
      <c r="T69" s="249"/>
      <c r="U69" s="249"/>
    </row>
    <row r="70" spans="1:21" ht="37.5" customHeight="1">
      <c r="A70" s="646" t="s">
        <v>226</v>
      </c>
      <c r="B70" s="647"/>
      <c r="C70" s="657">
        <f t="shared" si="13"/>
        <v>0</v>
      </c>
      <c r="D70" s="658"/>
      <c r="E70" s="246"/>
      <c r="F70" s="246"/>
      <c r="G70" s="246"/>
      <c r="H70" s="246"/>
      <c r="I70" s="246"/>
      <c r="J70" s="246"/>
      <c r="K70" s="246"/>
      <c r="L70" s="246"/>
      <c r="M70" s="246"/>
      <c r="N70" s="251"/>
      <c r="O70" s="251"/>
      <c r="P70" s="251"/>
      <c r="T70" s="249"/>
      <c r="U70" s="249"/>
    </row>
    <row r="71" spans="1:21" ht="27.75" customHeight="1">
      <c r="A71" s="646" t="s">
        <v>227</v>
      </c>
      <c r="B71" s="647"/>
      <c r="C71" s="657">
        <f t="shared" si="13"/>
        <v>0</v>
      </c>
      <c r="D71" s="658"/>
      <c r="E71" s="246"/>
      <c r="F71" s="246"/>
      <c r="G71" s="246"/>
      <c r="H71" s="246"/>
      <c r="I71" s="246"/>
      <c r="J71" s="246"/>
      <c r="K71" s="246"/>
      <c r="L71" s="246"/>
      <c r="M71" s="246"/>
      <c r="N71" s="251"/>
      <c r="O71" s="251"/>
      <c r="P71" s="251"/>
      <c r="T71" s="249"/>
      <c r="U71" s="249"/>
    </row>
    <row r="72" spans="1:21" ht="27.75" customHeight="1">
      <c r="A72" s="646" t="s">
        <v>228</v>
      </c>
      <c r="B72" s="647"/>
      <c r="C72" s="657">
        <f t="shared" si="13"/>
        <v>30.075</v>
      </c>
      <c r="D72" s="658"/>
      <c r="E72" s="246">
        <v>20</v>
      </c>
      <c r="F72" s="246"/>
      <c r="G72" s="246">
        <v>10.075</v>
      </c>
      <c r="H72" s="246"/>
      <c r="I72" s="246"/>
      <c r="J72" s="246"/>
      <c r="K72" s="246"/>
      <c r="L72" s="246"/>
      <c r="M72" s="246"/>
      <c r="N72" s="251"/>
      <c r="O72" s="251"/>
      <c r="P72" s="251"/>
      <c r="T72" s="249"/>
      <c r="U72" s="249"/>
    </row>
    <row r="74" spans="14:16" ht="12.75">
      <c r="N74" s="249"/>
      <c r="O74" s="249"/>
      <c r="P74" s="249"/>
    </row>
    <row r="75" spans="1:17" s="235" customFormat="1" ht="15">
      <c r="A75" s="235" t="s">
        <v>313</v>
      </c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P75" s="255"/>
      <c r="Q75" s="236"/>
    </row>
    <row r="76" spans="4:17" s="235" customFormat="1" ht="15" hidden="1"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P76" s="255"/>
      <c r="Q76" s="236"/>
    </row>
    <row r="77" spans="1:17" s="235" customFormat="1" ht="15">
      <c r="A77" s="235" t="s">
        <v>314</v>
      </c>
      <c r="P77" s="255"/>
      <c r="Q77" s="236"/>
    </row>
    <row r="78" spans="14:17" s="226" customFormat="1" ht="15">
      <c r="N78" s="256"/>
      <c r="Q78" s="229"/>
    </row>
    <row r="79" spans="1:9" s="226" customFormat="1" ht="15" customHeight="1">
      <c r="A79" s="661" t="s">
        <v>315</v>
      </c>
      <c r="B79" s="661" t="s">
        <v>284</v>
      </c>
      <c r="C79" s="662" t="s">
        <v>316</v>
      </c>
      <c r="D79" s="663"/>
      <c r="E79" s="257"/>
      <c r="F79" s="673" t="s">
        <v>317</v>
      </c>
      <c r="G79" s="674"/>
      <c r="I79" s="229"/>
    </row>
    <row r="80" spans="1:9" s="226" customFormat="1" ht="15" customHeight="1">
      <c r="A80" s="661"/>
      <c r="B80" s="661"/>
      <c r="C80" s="664"/>
      <c r="D80" s="665"/>
      <c r="E80" s="258"/>
      <c r="F80" s="675"/>
      <c r="G80" s="676"/>
      <c r="I80" s="229"/>
    </row>
    <row r="81" spans="1:9" s="226" customFormat="1" ht="24.75" customHeight="1">
      <c r="A81" s="259"/>
      <c r="B81" s="260"/>
      <c r="C81" s="643"/>
      <c r="D81" s="645"/>
      <c r="E81" s="240" t="s">
        <v>318</v>
      </c>
      <c r="F81" s="671" t="s">
        <v>318</v>
      </c>
      <c r="G81" s="672"/>
      <c r="I81" s="229"/>
    </row>
    <row r="82" spans="1:9" s="226" customFormat="1" ht="25.5" customHeight="1">
      <c r="A82" s="259"/>
      <c r="B82" s="260"/>
      <c r="C82" s="643"/>
      <c r="D82" s="645"/>
      <c r="E82" s="240"/>
      <c r="F82" s="671"/>
      <c r="G82" s="672"/>
      <c r="I82" s="229"/>
    </row>
    <row r="83" spans="1:9" s="226" customFormat="1" ht="26.25" customHeight="1">
      <c r="A83" s="259"/>
      <c r="B83" s="260"/>
      <c r="C83" s="643"/>
      <c r="D83" s="645"/>
      <c r="E83" s="240"/>
      <c r="F83" s="671"/>
      <c r="G83" s="672"/>
      <c r="I83" s="229"/>
    </row>
    <row r="84" spans="6:17" ht="15">
      <c r="F84" s="261"/>
      <c r="I84" s="225"/>
      <c r="Q84" s="223"/>
    </row>
    <row r="85" spans="6:17" ht="15">
      <c r="F85" s="261"/>
      <c r="I85" s="225"/>
      <c r="Q85" s="223"/>
    </row>
    <row r="86" spans="1:9" s="235" customFormat="1" ht="15">
      <c r="A86" s="235" t="s">
        <v>319</v>
      </c>
      <c r="F86" s="256"/>
      <c r="I86" s="236"/>
    </row>
    <row r="87" spans="6:17" ht="15">
      <c r="F87" s="261"/>
      <c r="I87" s="225"/>
      <c r="Q87" s="223"/>
    </row>
    <row r="88" spans="1:17" ht="12.75" customHeight="1">
      <c r="A88" s="661" t="s">
        <v>315</v>
      </c>
      <c r="B88" s="661" t="s">
        <v>284</v>
      </c>
      <c r="C88" s="662" t="s">
        <v>320</v>
      </c>
      <c r="D88" s="663"/>
      <c r="E88" s="257"/>
      <c r="F88" s="673" t="s">
        <v>321</v>
      </c>
      <c r="G88" s="674"/>
      <c r="I88" s="225"/>
      <c r="Q88" s="223"/>
    </row>
    <row r="89" spans="1:17" ht="12.75">
      <c r="A89" s="661"/>
      <c r="B89" s="661"/>
      <c r="C89" s="664"/>
      <c r="D89" s="665"/>
      <c r="E89" s="258"/>
      <c r="F89" s="675"/>
      <c r="G89" s="676"/>
      <c r="I89" s="225"/>
      <c r="Q89" s="223"/>
    </row>
    <row r="90" spans="1:17" ht="24.75" customHeight="1">
      <c r="A90" s="259"/>
      <c r="B90" s="260"/>
      <c r="C90" s="643"/>
      <c r="D90" s="645"/>
      <c r="E90" s="240" t="s">
        <v>318</v>
      </c>
      <c r="F90" s="671" t="s">
        <v>318</v>
      </c>
      <c r="G90" s="672"/>
      <c r="I90" s="225"/>
      <c r="Q90" s="223"/>
    </row>
    <row r="91" spans="1:17" ht="23.25" customHeight="1">
      <c r="A91" s="259"/>
      <c r="B91" s="260"/>
      <c r="C91" s="643"/>
      <c r="D91" s="645"/>
      <c r="E91" s="240"/>
      <c r="F91" s="671"/>
      <c r="G91" s="672"/>
      <c r="I91" s="225"/>
      <c r="Q91" s="223"/>
    </row>
    <row r="92" spans="1:17" ht="26.25" customHeight="1">
      <c r="A92" s="259"/>
      <c r="B92" s="260"/>
      <c r="C92" s="643"/>
      <c r="D92" s="645"/>
      <c r="E92" s="240"/>
      <c r="F92" s="671"/>
      <c r="G92" s="672"/>
      <c r="I92" s="225"/>
      <c r="Q92" s="223"/>
    </row>
    <row r="93" spans="4:14" ht="15"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1"/>
    </row>
    <row r="94" ht="15">
      <c r="N94" s="261"/>
    </row>
    <row r="95" spans="1:17" s="263" customFormat="1" ht="15">
      <c r="A95" s="235" t="s">
        <v>322</v>
      </c>
      <c r="B95" s="235"/>
      <c r="N95" s="261"/>
      <c r="Q95" s="264"/>
    </row>
    <row r="96" ht="15">
      <c r="N96" s="261"/>
    </row>
    <row r="97" spans="1:5" s="226" customFormat="1" ht="15" customHeight="1">
      <c r="A97" s="661" t="s">
        <v>315</v>
      </c>
      <c r="B97" s="661" t="s">
        <v>323</v>
      </c>
      <c r="C97" s="661" t="s">
        <v>233</v>
      </c>
      <c r="D97" s="661" t="s">
        <v>234</v>
      </c>
      <c r="E97" s="666" t="s">
        <v>324</v>
      </c>
    </row>
    <row r="98" spans="1:5" s="226" customFormat="1" ht="22.5" customHeight="1">
      <c r="A98" s="661"/>
      <c r="B98" s="661"/>
      <c r="C98" s="661"/>
      <c r="D98" s="661"/>
      <c r="E98" s="666"/>
    </row>
    <row r="99" spans="1:5" s="226" customFormat="1" ht="63.75">
      <c r="A99" s="259">
        <v>1</v>
      </c>
      <c r="B99" s="265" t="s">
        <v>241</v>
      </c>
      <c r="C99" s="266"/>
      <c r="D99" s="267" t="s">
        <v>325</v>
      </c>
      <c r="E99" s="267" t="s">
        <v>325</v>
      </c>
    </row>
    <row r="100" spans="1:17" ht="13.5" customHeight="1">
      <c r="A100" s="259">
        <v>2</v>
      </c>
      <c r="B100" s="268" t="s">
        <v>243</v>
      </c>
      <c r="C100" s="266"/>
      <c r="D100" s="239" t="s">
        <v>244</v>
      </c>
      <c r="E100" s="242" t="s">
        <v>318</v>
      </c>
      <c r="Q100" s="223"/>
    </row>
    <row r="101" spans="1:17" ht="38.25">
      <c r="A101" s="259">
        <v>3</v>
      </c>
      <c r="B101" s="268" t="s">
        <v>245</v>
      </c>
      <c r="C101" s="266"/>
      <c r="D101" s="239" t="s">
        <v>246</v>
      </c>
      <c r="E101" s="239" t="s">
        <v>246</v>
      </c>
      <c r="Q101" s="223"/>
    </row>
    <row r="102" spans="1:17" ht="39" customHeight="1">
      <c r="A102" s="259">
        <v>4</v>
      </c>
      <c r="B102" s="268" t="s">
        <v>245</v>
      </c>
      <c r="C102" s="266"/>
      <c r="D102" s="269" t="s">
        <v>248</v>
      </c>
      <c r="E102" s="269" t="s">
        <v>248</v>
      </c>
      <c r="Q102" s="223"/>
    </row>
    <row r="103" spans="1:17" ht="12.75">
      <c r="A103" s="270"/>
      <c r="B103" s="271"/>
      <c r="C103" s="272"/>
      <c r="D103" s="272"/>
      <c r="E103" s="272"/>
      <c r="F103" s="272"/>
      <c r="H103" s="272"/>
      <c r="K103" s="225"/>
      <c r="Q103" s="223"/>
    </row>
    <row r="104" spans="1:17" ht="12.75">
      <c r="A104" s="270"/>
      <c r="B104" s="271"/>
      <c r="C104" s="272"/>
      <c r="D104" s="272"/>
      <c r="E104" s="272"/>
      <c r="F104" s="272"/>
      <c r="H104" s="272"/>
      <c r="K104" s="225"/>
      <c r="Q104" s="223"/>
    </row>
    <row r="105" spans="1:17" ht="12.75">
      <c r="A105" s="270"/>
      <c r="B105" s="271"/>
      <c r="C105" s="272"/>
      <c r="D105" s="272"/>
      <c r="E105" s="272"/>
      <c r="F105" s="272"/>
      <c r="H105" s="272"/>
      <c r="K105" s="225"/>
      <c r="Q105" s="223"/>
    </row>
    <row r="106" spans="1:11" s="235" customFormat="1" ht="15">
      <c r="A106" s="235" t="s">
        <v>326</v>
      </c>
      <c r="K106" s="236"/>
    </row>
    <row r="107" spans="11:17" ht="12.75">
      <c r="K107" s="225"/>
      <c r="Q107" s="223"/>
    </row>
    <row r="108" spans="1:5" s="226" customFormat="1" ht="51">
      <c r="A108" s="668" t="s">
        <v>327</v>
      </c>
      <c r="B108" s="668"/>
      <c r="C108" s="239" t="s">
        <v>261</v>
      </c>
      <c r="D108" s="237" t="s">
        <v>328</v>
      </c>
      <c r="E108" s="239" t="s">
        <v>329</v>
      </c>
    </row>
    <row r="109" spans="1:5" s="226" customFormat="1" ht="42" customHeight="1">
      <c r="A109" s="669" t="s">
        <v>289</v>
      </c>
      <c r="B109" s="669"/>
      <c r="C109" s="239" t="s">
        <v>351</v>
      </c>
      <c r="D109" s="284">
        <f>C58+C64</f>
        <v>4031.3152199999995</v>
      </c>
      <c r="E109" s="259">
        <f>D31</f>
        <v>152</v>
      </c>
    </row>
    <row r="111" s="273" customFormat="1" ht="13.5" customHeight="1" thickBot="1"/>
    <row r="112" spans="1:2" s="273" customFormat="1" ht="15">
      <c r="A112" s="274" t="s">
        <v>203</v>
      </c>
      <c r="B112" s="275" t="s">
        <v>330</v>
      </c>
    </row>
    <row r="113" spans="1:17" s="226" customFormat="1" ht="15">
      <c r="A113" s="235" t="s">
        <v>331</v>
      </c>
      <c r="Q113" s="229"/>
    </row>
    <row r="114" spans="1:17" s="226" customFormat="1" ht="15">
      <c r="A114" s="235"/>
      <c r="Q114" s="229"/>
    </row>
    <row r="115" spans="1:17" s="263" customFormat="1" ht="17.25" customHeight="1">
      <c r="A115" s="670" t="s">
        <v>332</v>
      </c>
      <c r="B115" s="670"/>
      <c r="C115" s="670"/>
      <c r="D115" s="670"/>
      <c r="E115" s="670"/>
      <c r="F115" s="670"/>
      <c r="G115" s="670"/>
      <c r="H115" s="670"/>
      <c r="I115" s="670"/>
      <c r="J115" s="670"/>
      <c r="K115" s="670"/>
      <c r="L115" s="670"/>
      <c r="M115" s="670"/>
      <c r="N115" s="670"/>
      <c r="O115" s="670"/>
      <c r="Q115" s="264"/>
    </row>
    <row r="117" spans="1:17" ht="12.75">
      <c r="A117" s="677"/>
      <c r="B117" s="677"/>
      <c r="C117" s="677"/>
      <c r="D117" s="677"/>
      <c r="E117" s="276"/>
      <c r="G117" s="225"/>
      <c r="Q117" s="223"/>
    </row>
    <row r="118" spans="1:17" ht="17.25" customHeight="1">
      <c r="A118" s="277"/>
      <c r="B118" s="277"/>
      <c r="C118" s="277"/>
      <c r="D118" s="277"/>
      <c r="E118" s="277"/>
      <c r="G118" s="225"/>
      <c r="Q118" s="223"/>
    </row>
    <row r="119" spans="1:17" ht="17.25" customHeight="1">
      <c r="A119" s="277"/>
      <c r="B119" s="277"/>
      <c r="C119" s="277"/>
      <c r="D119" s="277"/>
      <c r="E119" s="277"/>
      <c r="G119" s="225"/>
      <c r="Q119" s="223"/>
    </row>
    <row r="120" spans="1:17" ht="12.75">
      <c r="A120" s="272"/>
      <c r="B120" s="272"/>
      <c r="C120" s="272"/>
      <c r="D120" s="272"/>
      <c r="E120" s="272"/>
      <c r="G120" s="225"/>
      <c r="Q120" s="223"/>
    </row>
    <row r="121" ht="12.75" hidden="1"/>
    <row r="123" spans="1:17" s="226" customFormat="1" ht="36" customHeight="1">
      <c r="A123" s="670" t="s">
        <v>333</v>
      </c>
      <c r="B123" s="670"/>
      <c r="C123" s="670"/>
      <c r="D123" s="670"/>
      <c r="E123" s="670"/>
      <c r="F123" s="670"/>
      <c r="G123" s="670"/>
      <c r="H123" s="670"/>
      <c r="I123" s="670"/>
      <c r="J123" s="670"/>
      <c r="K123" s="670"/>
      <c r="L123" s="670"/>
      <c r="M123" s="670"/>
      <c r="N123" s="670"/>
      <c r="O123" s="670"/>
      <c r="Q123" s="229"/>
    </row>
    <row r="125" spans="1:17" ht="12.75">
      <c r="A125" s="276"/>
      <c r="B125" s="276"/>
      <c r="C125" s="276"/>
      <c r="D125" s="276"/>
      <c r="E125" s="276"/>
      <c r="F125" s="276"/>
      <c r="G125" s="225"/>
      <c r="Q125" s="223"/>
    </row>
    <row r="126" spans="1:17" ht="17.25" customHeight="1">
      <c r="A126" s="277"/>
      <c r="B126" s="277"/>
      <c r="C126" s="277"/>
      <c r="D126" s="277"/>
      <c r="E126" s="277"/>
      <c r="G126" s="225"/>
      <c r="Q126" s="223"/>
    </row>
    <row r="127" spans="1:17" ht="15.75" customHeight="1">
      <c r="A127" s="277"/>
      <c r="B127" s="277"/>
      <c r="C127" s="277"/>
      <c r="D127" s="277"/>
      <c r="E127" s="277"/>
      <c r="G127" s="225"/>
      <c r="Q127" s="223"/>
    </row>
    <row r="128" spans="1:17" ht="12.75">
      <c r="A128" s="272"/>
      <c r="B128" s="272"/>
      <c r="C128" s="272"/>
      <c r="D128" s="272"/>
      <c r="E128" s="272"/>
      <c r="G128" s="225"/>
      <c r="Q128" s="223"/>
    </row>
    <row r="129" spans="7:17" ht="12.75">
      <c r="G129" s="225"/>
      <c r="Q129" s="223"/>
    </row>
    <row r="130" spans="1:17" s="235" customFormat="1" ht="27.75" customHeight="1">
      <c r="A130" s="235" t="s">
        <v>334</v>
      </c>
      <c r="Q130" s="236"/>
    </row>
    <row r="131" spans="2:17" ht="12.75">
      <c r="B131" s="272"/>
      <c r="G131" s="225"/>
      <c r="Q131" s="223"/>
    </row>
    <row r="132" spans="1:17" ht="12.75">
      <c r="A132" s="278"/>
      <c r="B132" s="276"/>
      <c r="C132" s="278"/>
      <c r="D132" s="278"/>
      <c r="E132" s="278"/>
      <c r="G132" s="225"/>
      <c r="Q132" s="223"/>
    </row>
    <row r="133" spans="1:17" ht="16.5" customHeight="1">
      <c r="A133" s="277"/>
      <c r="B133" s="277"/>
      <c r="C133" s="277"/>
      <c r="D133" s="277"/>
      <c r="E133" s="277"/>
      <c r="G133" s="225"/>
      <c r="Q133" s="223"/>
    </row>
    <row r="134" spans="1:17" ht="15.75" customHeight="1">
      <c r="A134" s="277"/>
      <c r="B134" s="277"/>
      <c r="C134" s="277"/>
      <c r="D134" s="277"/>
      <c r="E134" s="277"/>
      <c r="G134" s="225"/>
      <c r="Q134" s="223"/>
    </row>
    <row r="135" spans="1:14" ht="12.7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</row>
    <row r="136" spans="1:14" ht="12.7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</row>
    <row r="137" spans="1:14" ht="12.7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</row>
    <row r="140" spans="1:13" s="226" customFormat="1" ht="16.5">
      <c r="A140" s="667" t="s">
        <v>352</v>
      </c>
      <c r="B140" s="667"/>
      <c r="D140" s="285"/>
      <c r="L140" s="285" t="s">
        <v>132</v>
      </c>
      <c r="M140" s="226" t="s">
        <v>283</v>
      </c>
    </row>
    <row r="141" spans="1:17" s="226" customFormat="1" ht="16.5">
      <c r="A141" s="279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Q141" s="229"/>
    </row>
    <row r="142" spans="1:16" s="226" customFormat="1" ht="16.5">
      <c r="A142" s="279"/>
      <c r="B142" s="236" t="s">
        <v>284</v>
      </c>
      <c r="C142" s="358">
        <v>41365</v>
      </c>
      <c r="D142" s="236" t="s">
        <v>285</v>
      </c>
      <c r="E142" s="236"/>
      <c r="F142" s="236"/>
      <c r="G142" s="236"/>
      <c r="H142" s="236"/>
      <c r="I142" s="236"/>
      <c r="J142" s="236"/>
      <c r="K142" s="236"/>
      <c r="L142" s="236"/>
      <c r="M142" s="236"/>
      <c r="P142" s="229"/>
    </row>
    <row r="143" spans="1:3" ht="21" customHeight="1">
      <c r="A143" s="281"/>
      <c r="B143" s="282"/>
      <c r="C143" s="282"/>
    </row>
    <row r="144" spans="1:3" ht="16.5" customHeight="1">
      <c r="A144" s="281"/>
      <c r="B144" s="282"/>
      <c r="C144" s="282"/>
    </row>
    <row r="145" spans="2:3" ht="12.75" customHeight="1">
      <c r="B145" s="282"/>
      <c r="C145" s="282"/>
    </row>
    <row r="146" spans="2:3" ht="12.75" customHeight="1">
      <c r="B146" s="282"/>
      <c r="C146" s="282"/>
    </row>
    <row r="147" spans="2:3" ht="12.75" customHeight="1">
      <c r="B147" s="282"/>
      <c r="C147" s="282"/>
    </row>
    <row r="148" spans="2:3" ht="12" customHeight="1">
      <c r="B148" s="282"/>
      <c r="C148" s="282"/>
    </row>
    <row r="149" ht="12" customHeight="1">
      <c r="C149" s="282"/>
    </row>
    <row r="150" ht="13.5" customHeight="1">
      <c r="C150" s="282"/>
    </row>
  </sheetData>
  <sheetProtection/>
  <mergeCells count="110">
    <mergeCell ref="A109:B109"/>
    <mergeCell ref="A115:O115"/>
    <mergeCell ref="A117:D117"/>
    <mergeCell ref="A123:O123"/>
    <mergeCell ref="A140:B140"/>
    <mergeCell ref="A97:A98"/>
    <mergeCell ref="B97:B98"/>
    <mergeCell ref="C97:C98"/>
    <mergeCell ref="D97:D98"/>
    <mergeCell ref="E97:E98"/>
    <mergeCell ref="A108:B108"/>
    <mergeCell ref="C90:D90"/>
    <mergeCell ref="F90:G90"/>
    <mergeCell ref="C91:D91"/>
    <mergeCell ref="F91:G91"/>
    <mergeCell ref="C92:D92"/>
    <mergeCell ref="F92:G92"/>
    <mergeCell ref="C82:D82"/>
    <mergeCell ref="F82:G82"/>
    <mergeCell ref="C83:D83"/>
    <mergeCell ref="F83:G83"/>
    <mergeCell ref="A88:A89"/>
    <mergeCell ref="B88:B89"/>
    <mergeCell ref="C88:D89"/>
    <mergeCell ref="F88:G89"/>
    <mergeCell ref="A79:A80"/>
    <mergeCell ref="B79:B80"/>
    <mergeCell ref="C79:D80"/>
    <mergeCell ref="F79:G80"/>
    <mergeCell ref="C81:D81"/>
    <mergeCell ref="F81:G81"/>
    <mergeCell ref="A70:B70"/>
    <mergeCell ref="C70:D70"/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7:P57"/>
    <mergeCell ref="A58:B58"/>
    <mergeCell ref="C58:D58"/>
    <mergeCell ref="A59:B59"/>
    <mergeCell ref="C59:D59"/>
    <mergeCell ref="A60:B60"/>
    <mergeCell ref="C60:D60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3:B33"/>
    <mergeCell ref="A34:B34"/>
    <mergeCell ref="A40:B40"/>
    <mergeCell ref="C40:D40"/>
    <mergeCell ref="N40:P40"/>
    <mergeCell ref="A41:P41"/>
    <mergeCell ref="A27:B27"/>
    <mergeCell ref="A28:B28"/>
    <mergeCell ref="A29:B29"/>
    <mergeCell ref="A30:P30"/>
    <mergeCell ref="A31:B31"/>
    <mergeCell ref="A32:B32"/>
    <mergeCell ref="A13:P13"/>
    <mergeCell ref="A14:P14"/>
    <mergeCell ref="A24:B24"/>
    <mergeCell ref="E24:P24"/>
    <mergeCell ref="A25:P25"/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C105">
      <selection activeCell="Q23" sqref="Q23"/>
    </sheetView>
  </sheetViews>
  <sheetFormatPr defaultColWidth="9.00390625" defaultRowHeight="12.75"/>
  <cols>
    <col min="1" max="1" width="9.125" style="223" customWidth="1"/>
    <col min="2" max="2" width="52.25390625" style="223" customWidth="1"/>
    <col min="3" max="3" width="15.875" style="223" customWidth="1"/>
    <col min="4" max="4" width="18.25390625" style="223" customWidth="1"/>
    <col min="5" max="6" width="16.25390625" style="223" customWidth="1"/>
    <col min="7" max="7" width="16.625" style="223" customWidth="1"/>
    <col min="8" max="10" width="16.75390625" style="223" hidden="1" customWidth="1"/>
    <col min="11" max="11" width="18.00390625" style="223" hidden="1" customWidth="1"/>
    <col min="12" max="12" width="17.75390625" style="223" hidden="1" customWidth="1"/>
    <col min="13" max="13" width="17.125" style="223" hidden="1" customWidth="1"/>
    <col min="14" max="14" width="16.875" style="223" hidden="1" customWidth="1"/>
    <col min="15" max="15" width="15.25390625" style="223" hidden="1" customWidth="1"/>
    <col min="16" max="16" width="15.125" style="223" hidden="1" customWidth="1"/>
    <col min="17" max="17" width="14.25390625" style="225" hidden="1" customWidth="1"/>
    <col min="18" max="18" width="16.25390625" style="223" hidden="1" customWidth="1"/>
    <col min="19" max="19" width="9.125" style="223" hidden="1" customWidth="1"/>
    <col min="20" max="20" width="10.125" style="223" bestFit="1" customWidth="1"/>
    <col min="21" max="21" width="9.625" style="223" bestFit="1" customWidth="1"/>
    <col min="22" max="16384" width="9.125" style="223" customWidth="1"/>
  </cols>
  <sheetData>
    <row r="1" ht="11.25" customHeight="1">
      <c r="G1" s="224" t="s">
        <v>286</v>
      </c>
    </row>
    <row r="2" ht="9" customHeight="1">
      <c r="G2" s="224" t="s">
        <v>149</v>
      </c>
    </row>
    <row r="3" ht="9.75" customHeight="1">
      <c r="G3" s="224" t="s">
        <v>150</v>
      </c>
    </row>
    <row r="4" ht="9.75" customHeight="1">
      <c r="G4" s="224" t="s">
        <v>151</v>
      </c>
    </row>
    <row r="5" ht="9" customHeight="1">
      <c r="G5" s="224" t="s">
        <v>152</v>
      </c>
    </row>
    <row r="6" ht="10.5" customHeight="1">
      <c r="G6" s="224" t="s">
        <v>153</v>
      </c>
    </row>
    <row r="7" ht="9" customHeight="1">
      <c r="G7" s="224" t="s">
        <v>154</v>
      </c>
    </row>
    <row r="8" ht="9.75" customHeight="1">
      <c r="G8" s="224" t="s">
        <v>155</v>
      </c>
    </row>
    <row r="9" ht="9" customHeight="1">
      <c r="G9" s="224" t="s">
        <v>156</v>
      </c>
    </row>
    <row r="10" ht="9.75" customHeight="1">
      <c r="G10" s="224" t="s">
        <v>157</v>
      </c>
    </row>
    <row r="11" spans="2:17" s="226" customFormat="1" ht="15.75">
      <c r="B11" s="227"/>
      <c r="C11" s="228" t="s">
        <v>287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Q11" s="229"/>
    </row>
    <row r="12" spans="2:17" s="226" customFormat="1" ht="15.75">
      <c r="B12" s="227"/>
      <c r="C12" s="228" t="s">
        <v>288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Q12" s="229"/>
    </row>
    <row r="13" spans="1:17" s="226" customFormat="1" ht="33" customHeight="1">
      <c r="A13" s="639" t="s">
        <v>289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229"/>
    </row>
    <row r="14" spans="1:17" s="226" customFormat="1" ht="18.75" customHeight="1">
      <c r="A14" s="640" t="s">
        <v>350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229"/>
    </row>
    <row r="15" spans="1:17" s="226" customFormat="1" ht="15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29"/>
    </row>
    <row r="16" spans="2:17" s="226" customFormat="1" ht="15.75">
      <c r="B16" s="227"/>
      <c r="C16" s="228" t="s">
        <v>358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Q16" s="229"/>
    </row>
    <row r="17" spans="2:17" s="226" customFormat="1" ht="15.75">
      <c r="B17" s="227"/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Q17" s="229"/>
    </row>
    <row r="18" spans="1:17" s="226" customFormat="1" ht="17.25" customHeight="1">
      <c r="A18" s="231" t="s">
        <v>290</v>
      </c>
      <c r="B18" s="232"/>
      <c r="C18" s="359" t="s">
        <v>353</v>
      </c>
      <c r="D18" s="359"/>
      <c r="E18" s="233"/>
      <c r="F18" s="233"/>
      <c r="G18" s="233"/>
      <c r="H18" s="233"/>
      <c r="I18" s="233"/>
      <c r="J18" s="233"/>
      <c r="K18" s="233"/>
      <c r="L18" s="233"/>
      <c r="M18" s="233"/>
      <c r="Q18" s="229"/>
    </row>
    <row r="19" spans="2:17" s="226" customFormat="1" ht="12.75" customHeight="1" hidden="1">
      <c r="B19" s="234"/>
      <c r="C19" s="359"/>
      <c r="D19" s="359"/>
      <c r="Q19" s="229"/>
    </row>
    <row r="20" spans="2:17" s="226" customFormat="1" ht="12.75">
      <c r="B20" s="234"/>
      <c r="C20" s="359" t="s">
        <v>354</v>
      </c>
      <c r="D20" s="359"/>
      <c r="Q20" s="229"/>
    </row>
    <row r="21" spans="1:17" s="235" customFormat="1" ht="15">
      <c r="A21" s="235" t="s">
        <v>291</v>
      </c>
      <c r="C21" s="360"/>
      <c r="D21" s="360"/>
      <c r="Q21" s="236"/>
    </row>
    <row r="22" spans="1:17" s="235" customFormat="1" ht="15">
      <c r="A22" s="235" t="s">
        <v>292</v>
      </c>
      <c r="Q22" s="236"/>
    </row>
    <row r="24" spans="1:16" ht="39" customHeight="1">
      <c r="A24" s="641" t="s">
        <v>293</v>
      </c>
      <c r="B24" s="642"/>
      <c r="C24" s="239" t="s">
        <v>25</v>
      </c>
      <c r="D24" s="239" t="s">
        <v>294</v>
      </c>
      <c r="E24" s="641" t="s">
        <v>295</v>
      </c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2"/>
    </row>
    <row r="25" spans="1:16" ht="21.75" customHeight="1">
      <c r="A25" s="643" t="s">
        <v>296</v>
      </c>
      <c r="B25" s="644"/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5"/>
    </row>
    <row r="26" spans="1:19" ht="64.5" customHeight="1">
      <c r="A26" s="646" t="s">
        <v>297</v>
      </c>
      <c r="B26" s="647"/>
      <c r="C26" s="241" t="s">
        <v>174</v>
      </c>
      <c r="D26" s="242">
        <v>152</v>
      </c>
      <c r="E26" s="242">
        <f aca="true" t="shared" si="0" ref="E26:M26">E27</f>
        <v>903</v>
      </c>
      <c r="F26" s="242">
        <f t="shared" si="0"/>
        <v>903</v>
      </c>
      <c r="G26" s="242">
        <f t="shared" si="0"/>
        <v>150</v>
      </c>
      <c r="H26" s="242">
        <f t="shared" si="0"/>
        <v>0</v>
      </c>
      <c r="I26" s="242">
        <f t="shared" si="0"/>
        <v>0</v>
      </c>
      <c r="J26" s="242">
        <f t="shared" si="0"/>
        <v>0</v>
      </c>
      <c r="K26" s="242">
        <f t="shared" si="0"/>
        <v>0</v>
      </c>
      <c r="L26" s="242">
        <f t="shared" si="0"/>
        <v>0</v>
      </c>
      <c r="M26" s="242">
        <f t="shared" si="0"/>
        <v>0</v>
      </c>
      <c r="N26" s="242">
        <f>N27</f>
        <v>0</v>
      </c>
      <c r="O26" s="242">
        <f>O27</f>
        <v>0</v>
      </c>
      <c r="P26" s="242">
        <f>P27</f>
        <v>0</v>
      </c>
      <c r="S26" s="223">
        <f>COUNTIF(E26:P26,"&gt;0")</f>
        <v>3</v>
      </c>
    </row>
    <row r="27" spans="1:19" ht="12.75">
      <c r="A27" s="646" t="s">
        <v>298</v>
      </c>
      <c r="B27" s="647"/>
      <c r="C27" s="241" t="s">
        <v>174</v>
      </c>
      <c r="D27" s="242">
        <v>152</v>
      </c>
      <c r="E27" s="242">
        <f>'мун.задание'!D74</f>
        <v>903</v>
      </c>
      <c r="F27" s="242">
        <f>'мун.задание'!E74</f>
        <v>903</v>
      </c>
      <c r="G27" s="242">
        <v>150</v>
      </c>
      <c r="H27" s="242"/>
      <c r="I27" s="242"/>
      <c r="J27" s="242"/>
      <c r="K27" s="242"/>
      <c r="L27" s="242"/>
      <c r="M27" s="242"/>
      <c r="N27" s="242"/>
      <c r="O27" s="242"/>
      <c r="P27" s="242"/>
      <c r="S27" s="223">
        <f>COUNTIF(E27:P27,"&gt;0")</f>
        <v>3</v>
      </c>
    </row>
    <row r="28" spans="1:19" ht="15" customHeight="1">
      <c r="A28" s="646" t="s">
        <v>299</v>
      </c>
      <c r="B28" s="647"/>
      <c r="C28" s="241" t="s">
        <v>174</v>
      </c>
      <c r="D28" s="242">
        <v>152</v>
      </c>
      <c r="E28" s="242">
        <f>'мун.задание'!D75</f>
        <v>903</v>
      </c>
      <c r="F28" s="242">
        <f>'мун.задание'!E75</f>
        <v>903</v>
      </c>
      <c r="G28" s="242">
        <v>150</v>
      </c>
      <c r="H28" s="242"/>
      <c r="I28" s="242"/>
      <c r="J28" s="242"/>
      <c r="K28" s="242"/>
      <c r="L28" s="242"/>
      <c r="M28" s="242"/>
      <c r="N28" s="242"/>
      <c r="O28" s="242"/>
      <c r="P28" s="242"/>
      <c r="S28" s="223">
        <f>COUNTIF(E28:P28,"&gt;0")</f>
        <v>3</v>
      </c>
    </row>
    <row r="29" spans="1:19" ht="15" customHeight="1">
      <c r="A29" s="646" t="s">
        <v>300</v>
      </c>
      <c r="B29" s="647"/>
      <c r="C29" s="241" t="s">
        <v>174</v>
      </c>
      <c r="D29" s="242">
        <v>152</v>
      </c>
      <c r="E29" s="242">
        <f>'мун.задание'!D76</f>
        <v>903</v>
      </c>
      <c r="F29" s="242">
        <f>'мун.задание'!E76</f>
        <v>903</v>
      </c>
      <c r="G29" s="242">
        <v>150</v>
      </c>
      <c r="H29" s="242"/>
      <c r="I29" s="242"/>
      <c r="J29" s="242"/>
      <c r="K29" s="242"/>
      <c r="L29" s="242"/>
      <c r="M29" s="242"/>
      <c r="N29" s="242"/>
      <c r="O29" s="242"/>
      <c r="P29" s="242"/>
      <c r="S29" s="223">
        <f>COUNTIF(E29:P29,"&gt;0")</f>
        <v>3</v>
      </c>
    </row>
    <row r="30" spans="1:16" ht="22.5" customHeight="1">
      <c r="A30" s="643" t="s">
        <v>301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5"/>
    </row>
    <row r="31" spans="1:19" ht="63" customHeight="1">
      <c r="A31" s="646" t="s">
        <v>302</v>
      </c>
      <c r="B31" s="647"/>
      <c r="C31" s="241" t="s">
        <v>174</v>
      </c>
      <c r="D31" s="242">
        <v>152</v>
      </c>
      <c r="E31" s="242">
        <f aca="true" t="shared" si="1" ref="E31:P31">E32</f>
        <v>903</v>
      </c>
      <c r="F31" s="242">
        <f t="shared" si="1"/>
        <v>903</v>
      </c>
      <c r="G31" s="242">
        <f t="shared" si="1"/>
        <v>150</v>
      </c>
      <c r="H31" s="242">
        <f t="shared" si="1"/>
        <v>0</v>
      </c>
      <c r="I31" s="242">
        <f t="shared" si="1"/>
        <v>0</v>
      </c>
      <c r="J31" s="242">
        <f t="shared" si="1"/>
        <v>0</v>
      </c>
      <c r="K31" s="242">
        <f t="shared" si="1"/>
        <v>0</v>
      </c>
      <c r="L31" s="242">
        <f t="shared" si="1"/>
        <v>0</v>
      </c>
      <c r="M31" s="242">
        <f t="shared" si="1"/>
        <v>0</v>
      </c>
      <c r="N31" s="242">
        <f t="shared" si="1"/>
        <v>0</v>
      </c>
      <c r="O31" s="242">
        <f t="shared" si="1"/>
        <v>0</v>
      </c>
      <c r="P31" s="242">
        <f t="shared" si="1"/>
        <v>0</v>
      </c>
      <c r="S31" s="223">
        <f>COUNTIF(E31:P31,"&gt;0")</f>
        <v>3</v>
      </c>
    </row>
    <row r="32" spans="1:19" ht="12.75">
      <c r="A32" s="646" t="s">
        <v>298</v>
      </c>
      <c r="B32" s="647"/>
      <c r="C32" s="241" t="s">
        <v>174</v>
      </c>
      <c r="D32" s="242">
        <v>152</v>
      </c>
      <c r="E32" s="242">
        <f>E27</f>
        <v>903</v>
      </c>
      <c r="F32" s="242">
        <f aca="true" t="shared" si="2" ref="F32:P32">F27</f>
        <v>903</v>
      </c>
      <c r="G32" s="242">
        <f t="shared" si="2"/>
        <v>150</v>
      </c>
      <c r="H32" s="242">
        <f t="shared" si="2"/>
        <v>0</v>
      </c>
      <c r="I32" s="242">
        <f t="shared" si="2"/>
        <v>0</v>
      </c>
      <c r="J32" s="242">
        <f t="shared" si="2"/>
        <v>0</v>
      </c>
      <c r="K32" s="242">
        <f t="shared" si="2"/>
        <v>0</v>
      </c>
      <c r="L32" s="242">
        <f t="shared" si="2"/>
        <v>0</v>
      </c>
      <c r="M32" s="242">
        <f t="shared" si="2"/>
        <v>0</v>
      </c>
      <c r="N32" s="242">
        <f t="shared" si="2"/>
        <v>0</v>
      </c>
      <c r="O32" s="242">
        <f t="shared" si="2"/>
        <v>0</v>
      </c>
      <c r="P32" s="242">
        <f t="shared" si="2"/>
        <v>0</v>
      </c>
      <c r="S32" s="223">
        <f>COUNTIF(E32:P32,"&gt;0")</f>
        <v>3</v>
      </c>
    </row>
    <row r="33" spans="1:19" ht="13.5" customHeight="1">
      <c r="A33" s="646" t="s">
        <v>299</v>
      </c>
      <c r="B33" s="647"/>
      <c r="C33" s="241" t="s">
        <v>174</v>
      </c>
      <c r="D33" s="242">
        <v>152</v>
      </c>
      <c r="E33" s="242">
        <f aca="true" t="shared" si="3" ref="E33:P34">E28</f>
        <v>903</v>
      </c>
      <c r="F33" s="242">
        <f t="shared" si="3"/>
        <v>903</v>
      </c>
      <c r="G33" s="242">
        <f t="shared" si="3"/>
        <v>150</v>
      </c>
      <c r="H33" s="242">
        <f t="shared" si="3"/>
        <v>0</v>
      </c>
      <c r="I33" s="242">
        <f t="shared" si="3"/>
        <v>0</v>
      </c>
      <c r="J33" s="242">
        <f t="shared" si="3"/>
        <v>0</v>
      </c>
      <c r="K33" s="242">
        <f t="shared" si="3"/>
        <v>0</v>
      </c>
      <c r="L33" s="242">
        <f t="shared" si="3"/>
        <v>0</v>
      </c>
      <c r="M33" s="242">
        <f t="shared" si="3"/>
        <v>0</v>
      </c>
      <c r="N33" s="242">
        <f t="shared" si="3"/>
        <v>0</v>
      </c>
      <c r="O33" s="242">
        <f t="shared" si="3"/>
        <v>0</v>
      </c>
      <c r="P33" s="242">
        <f t="shared" si="3"/>
        <v>0</v>
      </c>
      <c r="S33" s="223">
        <f>COUNTIF(E33:P33,"&gt;0")</f>
        <v>3</v>
      </c>
    </row>
    <row r="34" spans="1:19" ht="13.5" customHeight="1">
      <c r="A34" s="646" t="s">
        <v>300</v>
      </c>
      <c r="B34" s="647"/>
      <c r="C34" s="241" t="s">
        <v>174</v>
      </c>
      <c r="D34" s="242">
        <v>152</v>
      </c>
      <c r="E34" s="242">
        <f t="shared" si="3"/>
        <v>903</v>
      </c>
      <c r="F34" s="242">
        <f t="shared" si="3"/>
        <v>903</v>
      </c>
      <c r="G34" s="242">
        <f t="shared" si="3"/>
        <v>150</v>
      </c>
      <c r="H34" s="242">
        <f t="shared" si="3"/>
        <v>0</v>
      </c>
      <c r="I34" s="242">
        <f t="shared" si="3"/>
        <v>0</v>
      </c>
      <c r="J34" s="242">
        <f t="shared" si="3"/>
        <v>0</v>
      </c>
      <c r="K34" s="242">
        <f t="shared" si="3"/>
        <v>0</v>
      </c>
      <c r="L34" s="242">
        <f t="shared" si="3"/>
        <v>0</v>
      </c>
      <c r="M34" s="242">
        <f t="shared" si="3"/>
        <v>0</v>
      </c>
      <c r="N34" s="242">
        <f t="shared" si="3"/>
        <v>0</v>
      </c>
      <c r="O34" s="242">
        <f t="shared" si="3"/>
        <v>0</v>
      </c>
      <c r="P34" s="242">
        <f t="shared" si="3"/>
        <v>0</v>
      </c>
      <c r="S34" s="223">
        <f>COUNTIF(E34:P34,"&gt;0")</f>
        <v>3</v>
      </c>
    </row>
    <row r="38" spans="1:17" s="235" customFormat="1" ht="15">
      <c r="A38" s="235" t="s">
        <v>303</v>
      </c>
      <c r="Q38" s="236"/>
    </row>
    <row r="40" spans="1:16" ht="31.5" customHeight="1">
      <c r="A40" s="641" t="s">
        <v>293</v>
      </c>
      <c r="B40" s="642"/>
      <c r="C40" s="641" t="s">
        <v>304</v>
      </c>
      <c r="D40" s="642"/>
      <c r="E40" s="238"/>
      <c r="F40" s="238"/>
      <c r="G40" s="238"/>
      <c r="H40" s="238"/>
      <c r="I40" s="238"/>
      <c r="J40" s="238"/>
      <c r="K40" s="238"/>
      <c r="L40" s="238"/>
      <c r="M40" s="238"/>
      <c r="N40" s="641" t="s">
        <v>305</v>
      </c>
      <c r="O40" s="648"/>
      <c r="P40" s="642"/>
    </row>
    <row r="41" spans="1:16" ht="19.5" customHeight="1">
      <c r="A41" s="643" t="s">
        <v>296</v>
      </c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5"/>
    </row>
    <row r="42" spans="1:20" ht="67.5" customHeight="1">
      <c r="A42" s="649" t="s">
        <v>306</v>
      </c>
      <c r="B42" s="650"/>
      <c r="C42" s="651">
        <f>C43+C46</f>
        <v>16367.07894</v>
      </c>
      <c r="D42" s="652"/>
      <c r="E42" s="283">
        <f>E43+E46</f>
        <v>2422.30949</v>
      </c>
      <c r="F42" s="283">
        <f aca="true" t="shared" si="4" ref="F42:P42">F43+F46</f>
        <v>1890.3292</v>
      </c>
      <c r="G42" s="283">
        <f t="shared" si="4"/>
        <v>2639.8419599999997</v>
      </c>
      <c r="H42" s="283">
        <f t="shared" si="4"/>
        <v>0</v>
      </c>
      <c r="I42" s="283">
        <f t="shared" si="4"/>
        <v>0</v>
      </c>
      <c r="J42" s="283">
        <f t="shared" si="4"/>
        <v>0</v>
      </c>
      <c r="K42" s="283">
        <f t="shared" si="4"/>
        <v>0</v>
      </c>
      <c r="L42" s="283">
        <f t="shared" si="4"/>
        <v>0</v>
      </c>
      <c r="M42" s="283">
        <f t="shared" si="4"/>
        <v>0</v>
      </c>
      <c r="N42" s="283">
        <f t="shared" si="4"/>
        <v>0</v>
      </c>
      <c r="O42" s="283">
        <f t="shared" si="4"/>
        <v>0</v>
      </c>
      <c r="P42" s="283">
        <f t="shared" si="4"/>
        <v>0</v>
      </c>
      <c r="Q42" s="243">
        <f>Q43+Q46</f>
        <v>0</v>
      </c>
      <c r="R42" s="243">
        <f>R43+R46</f>
        <v>0</v>
      </c>
      <c r="T42" s="262">
        <f>C42-C58</f>
        <v>2963.466389999998</v>
      </c>
    </row>
    <row r="43" spans="1:20" s="245" customFormat="1" ht="67.5" customHeight="1">
      <c r="A43" s="653" t="s">
        <v>307</v>
      </c>
      <c r="B43" s="654"/>
      <c r="C43" s="655">
        <f>SUM(C44:D45)</f>
        <v>15516.98894</v>
      </c>
      <c r="D43" s="656"/>
      <c r="E43" s="365">
        <f>SUM(E44:E45)</f>
        <v>1890.30349</v>
      </c>
      <c r="F43" s="365">
        <f aca="true" t="shared" si="5" ref="F43:M43">SUM(F44:F45)</f>
        <v>1780.3292</v>
      </c>
      <c r="G43" s="365">
        <f t="shared" si="5"/>
        <v>2639.8419599999997</v>
      </c>
      <c r="H43" s="365">
        <f t="shared" si="5"/>
        <v>0</v>
      </c>
      <c r="I43" s="365">
        <f t="shared" si="5"/>
        <v>0</v>
      </c>
      <c r="J43" s="365">
        <f t="shared" si="5"/>
        <v>0</v>
      </c>
      <c r="K43" s="365">
        <f t="shared" si="5"/>
        <v>0</v>
      </c>
      <c r="L43" s="365">
        <f t="shared" si="5"/>
        <v>0</v>
      </c>
      <c r="M43" s="365">
        <f t="shared" si="5"/>
        <v>0</v>
      </c>
      <c r="N43" s="365">
        <f>SUM(N44:N45)</f>
        <v>0</v>
      </c>
      <c r="O43" s="365">
        <f>SUM(O44:O45)</f>
        <v>0</v>
      </c>
      <c r="P43" s="365">
        <f>SUM(P44:P45)</f>
        <v>0</v>
      </c>
      <c r="Q43" s="244"/>
      <c r="T43" s="262">
        <f aca="true" t="shared" si="6" ref="T43:T56">C43-C59</f>
        <v>2425.217389999998</v>
      </c>
    </row>
    <row r="44" spans="1:20" ht="15.75" customHeight="1">
      <c r="A44" s="646" t="s">
        <v>298</v>
      </c>
      <c r="B44" s="647"/>
      <c r="C44" s="657">
        <f>SUM(E44:P44)+'отчет 1433-2'!C44:D44</f>
        <v>8823.39649</v>
      </c>
      <c r="D44" s="658"/>
      <c r="E44" s="246">
        <f>'вспомогательная таблица'!L29/1000</f>
        <v>1573.3282</v>
      </c>
      <c r="F44" s="246">
        <f>'вспомогательная таблица'!M29/1000</f>
        <v>1573.3292</v>
      </c>
      <c r="G44" s="246">
        <f>'вспомогательная таблица'!N29/1000</f>
        <v>2001.0913999999998</v>
      </c>
      <c r="H44" s="246"/>
      <c r="I44" s="246"/>
      <c r="J44" s="246"/>
      <c r="K44" s="246"/>
      <c r="L44" s="246"/>
      <c r="M44" s="246"/>
      <c r="N44" s="247"/>
      <c r="O44" s="247"/>
      <c r="P44" s="247"/>
      <c r="T44" s="262">
        <f t="shared" si="6"/>
        <v>2569.7365599999985</v>
      </c>
    </row>
    <row r="45" spans="1:20" ht="15" customHeight="1">
      <c r="A45" s="646" t="s">
        <v>308</v>
      </c>
      <c r="B45" s="647"/>
      <c r="C45" s="657">
        <f>SUM(E45:P45)+'отчет 1433-2'!C45:D45</f>
        <v>6693.59245</v>
      </c>
      <c r="D45" s="658"/>
      <c r="E45" s="246">
        <f>'вспомогательная таблица'!L34/1000</f>
        <v>316.97529000000003</v>
      </c>
      <c r="F45" s="246">
        <f>'вспомогательная таблица'!M34/1000</f>
        <v>207</v>
      </c>
      <c r="G45" s="246">
        <f>'вспомогательная таблица'!N34/1000</f>
        <v>638.7505600000001</v>
      </c>
      <c r="H45" s="246"/>
      <c r="I45" s="246"/>
      <c r="J45" s="246"/>
      <c r="K45" s="246"/>
      <c r="L45" s="246"/>
      <c r="M45" s="246"/>
      <c r="N45" s="248"/>
      <c r="O45" s="248"/>
      <c r="P45" s="248"/>
      <c r="T45" s="262">
        <f t="shared" si="6"/>
        <v>-144.51916999999958</v>
      </c>
    </row>
    <row r="46" spans="1:20" s="245" customFormat="1" ht="68.25" customHeight="1">
      <c r="A46" s="653" t="s">
        <v>309</v>
      </c>
      <c r="B46" s="654"/>
      <c r="C46" s="655">
        <f>C47</f>
        <v>850.0899999999999</v>
      </c>
      <c r="D46" s="656"/>
      <c r="E46" s="365">
        <f aca="true" t="shared" si="7" ref="E46:P46">E47</f>
        <v>532.006</v>
      </c>
      <c r="F46" s="365">
        <f t="shared" si="7"/>
        <v>110</v>
      </c>
      <c r="G46" s="365">
        <f t="shared" si="7"/>
        <v>0</v>
      </c>
      <c r="H46" s="365">
        <f t="shared" si="7"/>
        <v>0</v>
      </c>
      <c r="I46" s="365">
        <f t="shared" si="7"/>
        <v>0</v>
      </c>
      <c r="J46" s="365">
        <f t="shared" si="7"/>
        <v>0</v>
      </c>
      <c r="K46" s="365">
        <f t="shared" si="7"/>
        <v>0</v>
      </c>
      <c r="L46" s="365">
        <f t="shared" si="7"/>
        <v>0</v>
      </c>
      <c r="M46" s="365">
        <f t="shared" si="7"/>
        <v>0</v>
      </c>
      <c r="N46" s="365">
        <f t="shared" si="7"/>
        <v>0</v>
      </c>
      <c r="O46" s="365">
        <f t="shared" si="7"/>
        <v>0</v>
      </c>
      <c r="P46" s="365">
        <f t="shared" si="7"/>
        <v>0</v>
      </c>
      <c r="Q46" s="244"/>
      <c r="T46" s="262">
        <f t="shared" si="6"/>
        <v>538.2489999999999</v>
      </c>
    </row>
    <row r="47" spans="1:20" ht="15" customHeight="1">
      <c r="A47" s="646" t="s">
        <v>300</v>
      </c>
      <c r="B47" s="647"/>
      <c r="C47" s="657">
        <f>SUM(E47:P47)+'отчет 1433-2'!C47:D47</f>
        <v>850.0899999999999</v>
      </c>
      <c r="D47" s="658"/>
      <c r="E47" s="246">
        <f>'вспомогательная таблица'!L35/1000</f>
        <v>532.006</v>
      </c>
      <c r="F47" s="246">
        <f>'вспомогательная таблица'!M35/1000</f>
        <v>110</v>
      </c>
      <c r="G47" s="246">
        <f>'вспомогательная таблица'!N35/1000</f>
        <v>0</v>
      </c>
      <c r="H47" s="246"/>
      <c r="I47" s="246"/>
      <c r="J47" s="246"/>
      <c r="K47" s="246"/>
      <c r="L47" s="246"/>
      <c r="M47" s="246"/>
      <c r="N47" s="251"/>
      <c r="O47" s="251"/>
      <c r="P47" s="251"/>
      <c r="T47" s="262">
        <f t="shared" si="6"/>
        <v>538.2489999999999</v>
      </c>
    </row>
    <row r="48" spans="1:20" s="245" customFormat="1" ht="65.25" customHeight="1">
      <c r="A48" s="653" t="s">
        <v>310</v>
      </c>
      <c r="B48" s="654"/>
      <c r="C48" s="659">
        <f>SUM(C49:D56)</f>
        <v>94.873</v>
      </c>
      <c r="D48" s="660"/>
      <c r="E48" s="364">
        <f>SUM(E49:E56)</f>
        <v>0</v>
      </c>
      <c r="F48" s="364">
        <f>SUM(F49:F56)</f>
        <v>0</v>
      </c>
      <c r="G48" s="364">
        <f>SUM(E49:E56)</f>
        <v>0</v>
      </c>
      <c r="H48" s="364">
        <f aca="true" t="shared" si="8" ref="H48:P48">SUM(H49:H56)</f>
        <v>0</v>
      </c>
      <c r="I48" s="364">
        <f t="shared" si="8"/>
        <v>0</v>
      </c>
      <c r="J48" s="364">
        <f t="shared" si="8"/>
        <v>0</v>
      </c>
      <c r="K48" s="364">
        <f t="shared" si="8"/>
        <v>0</v>
      </c>
      <c r="L48" s="364">
        <f t="shared" si="8"/>
        <v>0</v>
      </c>
      <c r="M48" s="364">
        <f t="shared" si="8"/>
        <v>0</v>
      </c>
      <c r="N48" s="364">
        <f t="shared" si="8"/>
        <v>0</v>
      </c>
      <c r="O48" s="364">
        <f t="shared" si="8"/>
        <v>0</v>
      </c>
      <c r="P48" s="364">
        <f t="shared" si="8"/>
        <v>0</v>
      </c>
      <c r="Q48" s="244"/>
      <c r="T48" s="262">
        <f t="shared" si="6"/>
        <v>-79.8137</v>
      </c>
    </row>
    <row r="49" spans="1:20" ht="27" customHeight="1">
      <c r="A49" s="646" t="s">
        <v>311</v>
      </c>
      <c r="B49" s="647"/>
      <c r="C49" s="657">
        <f aca="true" t="shared" si="9" ref="C49:C55">SUM(E49:P49)</f>
        <v>0</v>
      </c>
      <c r="D49" s="658"/>
      <c r="E49" s="246"/>
      <c r="F49" s="246"/>
      <c r="G49" s="246"/>
      <c r="H49" s="246"/>
      <c r="I49" s="246"/>
      <c r="J49" s="246"/>
      <c r="K49" s="246"/>
      <c r="L49" s="246"/>
      <c r="M49" s="246"/>
      <c r="N49" s="251"/>
      <c r="O49" s="251"/>
      <c r="P49" s="251"/>
      <c r="T49" s="262">
        <f t="shared" si="6"/>
        <v>0</v>
      </c>
    </row>
    <row r="50" spans="1:20" ht="27.75" customHeight="1">
      <c r="A50" s="646" t="s">
        <v>223</v>
      </c>
      <c r="B50" s="647"/>
      <c r="C50" s="657">
        <f t="shared" si="9"/>
        <v>0</v>
      </c>
      <c r="D50" s="658"/>
      <c r="E50" s="246"/>
      <c r="F50" s="246"/>
      <c r="G50" s="246"/>
      <c r="H50" s="246"/>
      <c r="I50" s="246"/>
      <c r="J50" s="246"/>
      <c r="K50" s="246"/>
      <c r="L50" s="246"/>
      <c r="M50" s="246"/>
      <c r="N50" s="251"/>
      <c r="O50" s="251"/>
      <c r="P50" s="251"/>
      <c r="T50" s="262">
        <f t="shared" si="6"/>
        <v>0</v>
      </c>
    </row>
    <row r="51" spans="1:20" ht="26.25" customHeight="1">
      <c r="A51" s="646" t="s">
        <v>224</v>
      </c>
      <c r="B51" s="647"/>
      <c r="C51" s="657">
        <f t="shared" si="9"/>
        <v>0</v>
      </c>
      <c r="D51" s="658"/>
      <c r="E51" s="246"/>
      <c r="F51" s="246"/>
      <c r="G51" s="246"/>
      <c r="H51" s="246"/>
      <c r="I51" s="246"/>
      <c r="J51" s="246"/>
      <c r="K51" s="246"/>
      <c r="L51" s="246"/>
      <c r="M51" s="246"/>
      <c r="N51" s="251"/>
      <c r="O51" s="251"/>
      <c r="P51" s="251"/>
      <c r="T51" s="262">
        <f t="shared" si="6"/>
        <v>0</v>
      </c>
    </row>
    <row r="52" spans="1:20" ht="52.5" customHeight="1">
      <c r="A52" s="646" t="s">
        <v>225</v>
      </c>
      <c r="B52" s="647"/>
      <c r="C52" s="657">
        <f>SUM(E52:P52)</f>
        <v>0</v>
      </c>
      <c r="D52" s="658"/>
      <c r="E52" s="246"/>
      <c r="F52" s="246"/>
      <c r="G52" s="246"/>
      <c r="H52" s="246"/>
      <c r="I52" s="246"/>
      <c r="J52" s="246"/>
      <c r="K52" s="246"/>
      <c r="L52" s="246"/>
      <c r="M52" s="246"/>
      <c r="N52" s="251"/>
      <c r="O52" s="251"/>
      <c r="P52" s="251"/>
      <c r="T52" s="262">
        <f t="shared" si="6"/>
        <v>0</v>
      </c>
    </row>
    <row r="53" spans="1:20" ht="30" customHeight="1">
      <c r="A53" s="646" t="s">
        <v>312</v>
      </c>
      <c r="B53" s="647"/>
      <c r="C53" s="657">
        <f t="shared" si="9"/>
        <v>0</v>
      </c>
      <c r="D53" s="658"/>
      <c r="E53" s="246"/>
      <c r="F53" s="246"/>
      <c r="G53" s="246"/>
      <c r="H53" s="246"/>
      <c r="I53" s="246"/>
      <c r="J53" s="246"/>
      <c r="K53" s="246"/>
      <c r="L53" s="246"/>
      <c r="M53" s="246"/>
      <c r="N53" s="251"/>
      <c r="O53" s="251"/>
      <c r="P53" s="251"/>
      <c r="T53" s="262">
        <f t="shared" si="6"/>
        <v>0</v>
      </c>
    </row>
    <row r="54" spans="1:20" ht="15" customHeight="1">
      <c r="A54" s="646" t="s">
        <v>226</v>
      </c>
      <c r="B54" s="647"/>
      <c r="C54" s="657">
        <f t="shared" si="9"/>
        <v>0</v>
      </c>
      <c r="D54" s="658"/>
      <c r="E54" s="246">
        <f>'мун.задание'!D145/1000</f>
        <v>0</v>
      </c>
      <c r="F54" s="246">
        <f>'мун.задание'!E145/1000</f>
        <v>0</v>
      </c>
      <c r="G54" s="246">
        <f>'мун.задание'!F145/1000</f>
        <v>0</v>
      </c>
      <c r="H54" s="246"/>
      <c r="I54" s="246"/>
      <c r="J54" s="246"/>
      <c r="K54" s="246"/>
      <c r="L54" s="246"/>
      <c r="M54" s="246"/>
      <c r="N54" s="251"/>
      <c r="O54" s="251"/>
      <c r="P54" s="251"/>
      <c r="T54" s="262">
        <f t="shared" si="6"/>
        <v>0</v>
      </c>
    </row>
    <row r="55" spans="1:20" ht="27.75" customHeight="1">
      <c r="A55" s="646" t="s">
        <v>227</v>
      </c>
      <c r="B55" s="647"/>
      <c r="C55" s="657">
        <f t="shared" si="9"/>
        <v>0</v>
      </c>
      <c r="D55" s="658"/>
      <c r="E55" s="246"/>
      <c r="F55" s="246"/>
      <c r="G55" s="246"/>
      <c r="H55" s="246"/>
      <c r="I55" s="246"/>
      <c r="J55" s="246"/>
      <c r="K55" s="246"/>
      <c r="L55" s="246"/>
      <c r="M55" s="246"/>
      <c r="N55" s="251"/>
      <c r="O55" s="251"/>
      <c r="P55" s="251"/>
      <c r="T55" s="262">
        <f t="shared" si="6"/>
        <v>0</v>
      </c>
    </row>
    <row r="56" spans="1:20" ht="30.75" customHeight="1">
      <c r="A56" s="646" t="s">
        <v>228</v>
      </c>
      <c r="B56" s="647"/>
      <c r="C56" s="657">
        <f>SUM(E56:P56)+'отчет 1433-2'!C56:D56</f>
        <v>94.873</v>
      </c>
      <c r="D56" s="658"/>
      <c r="E56" s="246">
        <f>'мун.задание'!G148/1000</f>
        <v>0</v>
      </c>
      <c r="F56" s="246">
        <f>'мун.задание'!E148/1000</f>
        <v>0</v>
      </c>
      <c r="G56" s="246">
        <f>'мун.задание'!F148/1000</f>
        <v>0</v>
      </c>
      <c r="H56" s="246"/>
      <c r="I56" s="246"/>
      <c r="J56" s="246"/>
      <c r="K56" s="246"/>
      <c r="L56" s="246"/>
      <c r="M56" s="246"/>
      <c r="N56" s="251"/>
      <c r="O56" s="251"/>
      <c r="P56" s="251"/>
      <c r="T56" s="262">
        <f t="shared" si="6"/>
        <v>-79.8137</v>
      </c>
    </row>
    <row r="57" spans="1:20" ht="21.75" customHeight="1">
      <c r="A57" s="643" t="s">
        <v>301</v>
      </c>
      <c r="B57" s="644"/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5"/>
      <c r="T57" s="249"/>
    </row>
    <row r="58" spans="1:20" s="253" customFormat="1" ht="54.75" customHeight="1">
      <c r="A58" s="649" t="s">
        <v>306</v>
      </c>
      <c r="B58" s="650"/>
      <c r="C58" s="651">
        <f>C59+C62</f>
        <v>13403.612550000002</v>
      </c>
      <c r="D58" s="652"/>
      <c r="E58" s="283">
        <f aca="true" t="shared" si="10" ref="E58:P58">E59+E62</f>
        <v>1667.90546</v>
      </c>
      <c r="F58" s="283">
        <f t="shared" si="10"/>
        <v>1133.81587</v>
      </c>
      <c r="G58" s="283">
        <f t="shared" si="10"/>
        <v>1223.1245800000002</v>
      </c>
      <c r="H58" s="283">
        <f t="shared" si="10"/>
        <v>0</v>
      </c>
      <c r="I58" s="283">
        <f t="shared" si="10"/>
        <v>0</v>
      </c>
      <c r="J58" s="283">
        <f t="shared" si="10"/>
        <v>0</v>
      </c>
      <c r="K58" s="283">
        <f t="shared" si="10"/>
        <v>0</v>
      </c>
      <c r="L58" s="283">
        <f t="shared" si="10"/>
        <v>0</v>
      </c>
      <c r="M58" s="283">
        <f t="shared" si="10"/>
        <v>0</v>
      </c>
      <c r="N58" s="283">
        <f t="shared" si="10"/>
        <v>0</v>
      </c>
      <c r="O58" s="283">
        <f t="shared" si="10"/>
        <v>0</v>
      </c>
      <c r="P58" s="283">
        <f t="shared" si="10"/>
        <v>0</v>
      </c>
      <c r="Q58" s="252"/>
      <c r="T58" s="254"/>
    </row>
    <row r="59" spans="1:20" ht="51.75" customHeight="1">
      <c r="A59" s="653" t="s">
        <v>307</v>
      </c>
      <c r="B59" s="654"/>
      <c r="C59" s="655">
        <f>SUM(C60:D61)</f>
        <v>13091.771550000001</v>
      </c>
      <c r="D59" s="656"/>
      <c r="E59" s="365">
        <f aca="true" t="shared" si="11" ref="E59:P59">SUM(E60:E61)</f>
        <v>1564.02946</v>
      </c>
      <c r="F59" s="365">
        <f t="shared" si="11"/>
        <v>1133.81587</v>
      </c>
      <c r="G59" s="365">
        <f t="shared" si="11"/>
        <v>1223.1245800000002</v>
      </c>
      <c r="H59" s="365">
        <f t="shared" si="11"/>
        <v>0</v>
      </c>
      <c r="I59" s="365">
        <f t="shared" si="11"/>
        <v>0</v>
      </c>
      <c r="J59" s="365">
        <f t="shared" si="11"/>
        <v>0</v>
      </c>
      <c r="K59" s="365">
        <f t="shared" si="11"/>
        <v>0</v>
      </c>
      <c r="L59" s="365">
        <f t="shared" si="11"/>
        <v>0</v>
      </c>
      <c r="M59" s="365">
        <f t="shared" si="11"/>
        <v>0</v>
      </c>
      <c r="N59" s="365">
        <f t="shared" si="11"/>
        <v>0</v>
      </c>
      <c r="O59" s="365">
        <f t="shared" si="11"/>
        <v>0</v>
      </c>
      <c r="P59" s="365">
        <f t="shared" si="11"/>
        <v>0</v>
      </c>
      <c r="T59" s="249"/>
    </row>
    <row r="60" spans="1:20" ht="12.75">
      <c r="A60" s="646" t="s">
        <v>298</v>
      </c>
      <c r="B60" s="647"/>
      <c r="C60" s="657">
        <f>SUM(E60:P60)+'отчет 1433-2'!C60:D60</f>
        <v>6253.659930000001</v>
      </c>
      <c r="D60" s="658"/>
      <c r="E60" s="246">
        <f>касса!K17/1000</f>
        <v>454.05</v>
      </c>
      <c r="F60" s="246">
        <f>касса!L17/1000</f>
        <v>311.494</v>
      </c>
      <c r="G60" s="246">
        <f>касса!M17/1000</f>
        <v>462.84953</v>
      </c>
      <c r="H60" s="246"/>
      <c r="I60" s="246"/>
      <c r="J60" s="246"/>
      <c r="K60" s="246"/>
      <c r="L60" s="246"/>
      <c r="M60" s="246"/>
      <c r="N60" s="247"/>
      <c r="O60" s="247"/>
      <c r="P60" s="247"/>
      <c r="T60" s="249"/>
    </row>
    <row r="61" spans="1:20" ht="12.75">
      <c r="A61" s="646" t="s">
        <v>308</v>
      </c>
      <c r="B61" s="647"/>
      <c r="C61" s="657">
        <f>SUM(E61:P61)+'отчет 1433-2'!C61:D61</f>
        <v>6838.11162</v>
      </c>
      <c r="D61" s="658"/>
      <c r="E61" s="246">
        <f>касса!K18/1000</f>
        <v>1109.97946</v>
      </c>
      <c r="F61" s="246">
        <f>касса!L18/1000</f>
        <v>822.32187</v>
      </c>
      <c r="G61" s="246">
        <f>касса!M18/1000</f>
        <v>760.2750500000001</v>
      </c>
      <c r="H61" s="246"/>
      <c r="I61" s="246"/>
      <c r="J61" s="246"/>
      <c r="K61" s="246"/>
      <c r="L61" s="246"/>
      <c r="M61" s="246"/>
      <c r="N61" s="248"/>
      <c r="O61" s="248"/>
      <c r="P61" s="248"/>
      <c r="T61" s="249"/>
    </row>
    <row r="62" spans="1:21" ht="54" customHeight="1">
      <c r="A62" s="653" t="s">
        <v>309</v>
      </c>
      <c r="B62" s="654"/>
      <c r="C62" s="655">
        <f>C63</f>
        <v>311.841</v>
      </c>
      <c r="D62" s="656"/>
      <c r="E62" s="365">
        <f aca="true" t="shared" si="12" ref="E62:P62">E63</f>
        <v>103.876</v>
      </c>
      <c r="F62" s="365">
        <f t="shared" si="12"/>
        <v>0</v>
      </c>
      <c r="G62" s="365">
        <f t="shared" si="12"/>
        <v>0</v>
      </c>
      <c r="H62" s="365">
        <f t="shared" si="12"/>
        <v>0</v>
      </c>
      <c r="I62" s="365">
        <f t="shared" si="12"/>
        <v>0</v>
      </c>
      <c r="J62" s="365">
        <f t="shared" si="12"/>
        <v>0</v>
      </c>
      <c r="K62" s="365">
        <f t="shared" si="12"/>
        <v>0</v>
      </c>
      <c r="L62" s="365">
        <f t="shared" si="12"/>
        <v>0</v>
      </c>
      <c r="M62" s="365">
        <f t="shared" si="12"/>
        <v>0</v>
      </c>
      <c r="N62" s="365">
        <f t="shared" si="12"/>
        <v>0</v>
      </c>
      <c r="O62" s="365">
        <f t="shared" si="12"/>
        <v>0</v>
      </c>
      <c r="P62" s="365">
        <f t="shared" si="12"/>
        <v>0</v>
      </c>
      <c r="T62" s="249"/>
      <c r="U62" s="249"/>
    </row>
    <row r="63" spans="1:21" ht="16.5" customHeight="1">
      <c r="A63" s="646" t="s">
        <v>300</v>
      </c>
      <c r="B63" s="647"/>
      <c r="C63" s="657">
        <f>SUM(E63:P63)+'отчет 1433-2'!C63:D63</f>
        <v>311.841</v>
      </c>
      <c r="D63" s="658"/>
      <c r="E63" s="246">
        <f>касса!K19/1000</f>
        <v>103.876</v>
      </c>
      <c r="F63" s="246">
        <f>касса!L19/1000</f>
        <v>0</v>
      </c>
      <c r="G63" s="246">
        <f>касса!M19/1000</f>
        <v>0</v>
      </c>
      <c r="H63" s="246"/>
      <c r="I63" s="246"/>
      <c r="J63" s="246"/>
      <c r="K63" s="246"/>
      <c r="L63" s="246"/>
      <c r="M63" s="246"/>
      <c r="N63" s="246"/>
      <c r="O63" s="246"/>
      <c r="P63" s="246"/>
      <c r="T63" s="249"/>
      <c r="U63" s="249"/>
    </row>
    <row r="64" spans="1:19" ht="53.25" customHeight="1">
      <c r="A64" s="653" t="s">
        <v>310</v>
      </c>
      <c r="B64" s="654"/>
      <c r="C64" s="659">
        <f>SUM(C65:D72)</f>
        <v>174.6867</v>
      </c>
      <c r="D64" s="660"/>
      <c r="E64" s="364">
        <f aca="true" t="shared" si="13" ref="E64:P64">SUM(E65:E72)</f>
        <v>0</v>
      </c>
      <c r="F64" s="364">
        <f t="shared" si="13"/>
        <v>36.0249</v>
      </c>
      <c r="G64" s="364">
        <f t="shared" si="13"/>
        <v>53.3988</v>
      </c>
      <c r="H64" s="364">
        <f t="shared" si="13"/>
        <v>0</v>
      </c>
      <c r="I64" s="364">
        <f t="shared" si="13"/>
        <v>0</v>
      </c>
      <c r="J64" s="364">
        <f t="shared" si="13"/>
        <v>0</v>
      </c>
      <c r="K64" s="364">
        <f t="shared" si="13"/>
        <v>0</v>
      </c>
      <c r="L64" s="364">
        <f t="shared" si="13"/>
        <v>0</v>
      </c>
      <c r="M64" s="364">
        <f t="shared" si="13"/>
        <v>0</v>
      </c>
      <c r="N64" s="364">
        <f t="shared" si="13"/>
        <v>0</v>
      </c>
      <c r="O64" s="364">
        <f t="shared" si="13"/>
        <v>0</v>
      </c>
      <c r="P64" s="364">
        <f t="shared" si="13"/>
        <v>0</v>
      </c>
      <c r="Q64" s="223"/>
      <c r="R64" s="249"/>
      <c r="S64" s="249"/>
    </row>
    <row r="65" spans="1:21" ht="28.5" customHeight="1">
      <c r="A65" s="646" t="s">
        <v>311</v>
      </c>
      <c r="B65" s="647"/>
      <c r="C65" s="657">
        <f aca="true" t="shared" si="14" ref="C65:C71">SUM(E65:P65)</f>
        <v>0</v>
      </c>
      <c r="D65" s="658"/>
      <c r="E65" s="246"/>
      <c r="F65" s="246"/>
      <c r="G65" s="246"/>
      <c r="H65" s="246"/>
      <c r="I65" s="246"/>
      <c r="J65" s="246"/>
      <c r="K65" s="246"/>
      <c r="L65" s="246"/>
      <c r="M65" s="246"/>
      <c r="N65" s="251"/>
      <c r="O65" s="251"/>
      <c r="P65" s="251"/>
      <c r="T65" s="249"/>
      <c r="U65" s="249"/>
    </row>
    <row r="66" spans="1:21" ht="15.75" customHeight="1">
      <c r="A66" s="646" t="s">
        <v>223</v>
      </c>
      <c r="B66" s="647"/>
      <c r="C66" s="657">
        <f t="shared" si="14"/>
        <v>0</v>
      </c>
      <c r="D66" s="658"/>
      <c r="E66" s="246"/>
      <c r="F66" s="246"/>
      <c r="G66" s="246"/>
      <c r="H66" s="246"/>
      <c r="I66" s="246"/>
      <c r="J66" s="246"/>
      <c r="K66" s="246"/>
      <c r="L66" s="246"/>
      <c r="M66" s="246"/>
      <c r="N66" s="251"/>
      <c r="O66" s="251"/>
      <c r="P66" s="251"/>
      <c r="T66" s="249"/>
      <c r="U66" s="249"/>
    </row>
    <row r="67" spans="1:21" ht="27.75" customHeight="1">
      <c r="A67" s="646" t="s">
        <v>224</v>
      </c>
      <c r="B67" s="647"/>
      <c r="C67" s="657">
        <f t="shared" si="14"/>
        <v>0</v>
      </c>
      <c r="D67" s="658"/>
      <c r="E67" s="246"/>
      <c r="F67" s="246"/>
      <c r="G67" s="246"/>
      <c r="H67" s="246"/>
      <c r="I67" s="246"/>
      <c r="J67" s="246"/>
      <c r="K67" s="246"/>
      <c r="L67" s="246"/>
      <c r="M67" s="246"/>
      <c r="N67" s="251"/>
      <c r="O67" s="251"/>
      <c r="P67" s="251"/>
      <c r="T67" s="249"/>
      <c r="U67" s="249"/>
    </row>
    <row r="68" spans="1:21" ht="27.75" customHeight="1">
      <c r="A68" s="646" t="s">
        <v>225</v>
      </c>
      <c r="B68" s="647"/>
      <c r="C68" s="657">
        <f t="shared" si="14"/>
        <v>0</v>
      </c>
      <c r="D68" s="658"/>
      <c r="E68" s="246"/>
      <c r="F68" s="246"/>
      <c r="G68" s="246"/>
      <c r="H68" s="246"/>
      <c r="I68" s="246"/>
      <c r="J68" s="246"/>
      <c r="K68" s="246"/>
      <c r="L68" s="246"/>
      <c r="M68" s="246"/>
      <c r="N68" s="251"/>
      <c r="O68" s="251"/>
      <c r="P68" s="251"/>
      <c r="T68" s="249"/>
      <c r="U68" s="249"/>
    </row>
    <row r="69" spans="1:21" ht="27" customHeight="1">
      <c r="A69" s="646" t="s">
        <v>312</v>
      </c>
      <c r="B69" s="647"/>
      <c r="C69" s="657">
        <f t="shared" si="14"/>
        <v>0</v>
      </c>
      <c r="D69" s="658"/>
      <c r="E69" s="246"/>
      <c r="F69" s="246"/>
      <c r="G69" s="246"/>
      <c r="H69" s="246"/>
      <c r="I69" s="246"/>
      <c r="J69" s="246"/>
      <c r="K69" s="246"/>
      <c r="L69" s="246"/>
      <c r="M69" s="246"/>
      <c r="N69" s="251"/>
      <c r="O69" s="251"/>
      <c r="P69" s="251"/>
      <c r="T69" s="249"/>
      <c r="U69" s="249"/>
    </row>
    <row r="70" spans="1:21" ht="37.5" customHeight="1">
      <c r="A70" s="646" t="s">
        <v>226</v>
      </c>
      <c r="B70" s="647"/>
      <c r="C70" s="657">
        <f t="shared" si="14"/>
        <v>0</v>
      </c>
      <c r="D70" s="658"/>
      <c r="E70" s="246"/>
      <c r="F70" s="246"/>
      <c r="G70" s="246"/>
      <c r="H70" s="246"/>
      <c r="I70" s="246"/>
      <c r="J70" s="246"/>
      <c r="K70" s="246"/>
      <c r="L70" s="246"/>
      <c r="M70" s="246"/>
      <c r="N70" s="251"/>
      <c r="O70" s="251"/>
      <c r="P70" s="251"/>
      <c r="T70" s="249"/>
      <c r="U70" s="249"/>
    </row>
    <row r="71" spans="1:21" ht="27.75" customHeight="1">
      <c r="A71" s="646" t="s">
        <v>227</v>
      </c>
      <c r="B71" s="647"/>
      <c r="C71" s="657">
        <f t="shared" si="14"/>
        <v>0</v>
      </c>
      <c r="D71" s="658"/>
      <c r="E71" s="246"/>
      <c r="F71" s="246"/>
      <c r="G71" s="246"/>
      <c r="H71" s="246"/>
      <c r="I71" s="246"/>
      <c r="J71" s="246"/>
      <c r="K71" s="246"/>
      <c r="L71" s="246"/>
      <c r="M71" s="246"/>
      <c r="N71" s="251"/>
      <c r="O71" s="251"/>
      <c r="P71" s="251"/>
      <c r="T71" s="249"/>
      <c r="U71" s="249"/>
    </row>
    <row r="72" spans="1:21" ht="27.75" customHeight="1">
      <c r="A72" s="646" t="s">
        <v>228</v>
      </c>
      <c r="B72" s="647"/>
      <c r="C72" s="657">
        <f>SUM(E72:P72)+'отчет 1433-2'!C72:D72</f>
        <v>174.6867</v>
      </c>
      <c r="D72" s="658"/>
      <c r="E72" s="246"/>
      <c r="F72" s="246">
        <v>36.0249</v>
      </c>
      <c r="G72" s="246">
        <v>53.3988</v>
      </c>
      <c r="H72" s="246"/>
      <c r="I72" s="246"/>
      <c r="J72" s="246"/>
      <c r="K72" s="246"/>
      <c r="L72" s="246"/>
      <c r="M72" s="246"/>
      <c r="N72" s="251"/>
      <c r="O72" s="251"/>
      <c r="P72" s="251"/>
      <c r="T72" s="249"/>
      <c r="U72" s="249"/>
    </row>
    <row r="74" spans="14:16" ht="12.75">
      <c r="N74" s="249"/>
      <c r="O74" s="249"/>
      <c r="P74" s="249"/>
    </row>
    <row r="75" spans="1:17" s="235" customFormat="1" ht="15">
      <c r="A75" s="235" t="s">
        <v>313</v>
      </c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P75" s="255"/>
      <c r="Q75" s="236"/>
    </row>
    <row r="76" spans="4:17" s="235" customFormat="1" ht="15" hidden="1"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P76" s="255"/>
      <c r="Q76" s="236"/>
    </row>
    <row r="77" spans="1:17" s="235" customFormat="1" ht="15">
      <c r="A77" s="235" t="s">
        <v>314</v>
      </c>
      <c r="P77" s="255"/>
      <c r="Q77" s="236"/>
    </row>
    <row r="78" spans="14:17" s="226" customFormat="1" ht="15">
      <c r="N78" s="256"/>
      <c r="Q78" s="229"/>
    </row>
    <row r="79" spans="1:9" s="226" customFormat="1" ht="15" customHeight="1">
      <c r="A79" s="661" t="s">
        <v>315</v>
      </c>
      <c r="B79" s="661" t="s">
        <v>284</v>
      </c>
      <c r="C79" s="662" t="s">
        <v>316</v>
      </c>
      <c r="D79" s="663"/>
      <c r="E79" s="257"/>
      <c r="F79" s="673" t="s">
        <v>317</v>
      </c>
      <c r="G79" s="674"/>
      <c r="I79" s="229"/>
    </row>
    <row r="80" spans="1:9" s="226" customFormat="1" ht="15" customHeight="1">
      <c r="A80" s="661"/>
      <c r="B80" s="661"/>
      <c r="C80" s="664"/>
      <c r="D80" s="665"/>
      <c r="E80" s="258"/>
      <c r="F80" s="675"/>
      <c r="G80" s="676"/>
      <c r="I80" s="229"/>
    </row>
    <row r="81" spans="1:9" s="226" customFormat="1" ht="24.75" customHeight="1">
      <c r="A81" s="259"/>
      <c r="B81" s="260"/>
      <c r="C81" s="643"/>
      <c r="D81" s="645"/>
      <c r="E81" s="240" t="s">
        <v>318</v>
      </c>
      <c r="F81" s="671" t="s">
        <v>318</v>
      </c>
      <c r="G81" s="672"/>
      <c r="I81" s="229"/>
    </row>
    <row r="82" spans="1:9" s="226" customFormat="1" ht="25.5" customHeight="1">
      <c r="A82" s="259"/>
      <c r="B82" s="260"/>
      <c r="C82" s="643"/>
      <c r="D82" s="645"/>
      <c r="E82" s="240"/>
      <c r="F82" s="671"/>
      <c r="G82" s="672"/>
      <c r="I82" s="229"/>
    </row>
    <row r="83" spans="1:9" s="226" customFormat="1" ht="26.25" customHeight="1">
      <c r="A83" s="259"/>
      <c r="B83" s="260"/>
      <c r="C83" s="643"/>
      <c r="D83" s="645"/>
      <c r="E83" s="240"/>
      <c r="F83" s="671"/>
      <c r="G83" s="672"/>
      <c r="I83" s="229"/>
    </row>
    <row r="84" spans="6:17" ht="15">
      <c r="F84" s="261"/>
      <c r="I84" s="225"/>
      <c r="Q84" s="223"/>
    </row>
    <row r="85" spans="6:17" ht="15">
      <c r="F85" s="261"/>
      <c r="I85" s="225"/>
      <c r="Q85" s="223"/>
    </row>
    <row r="86" spans="1:9" s="235" customFormat="1" ht="15">
      <c r="A86" s="235" t="s">
        <v>319</v>
      </c>
      <c r="F86" s="256"/>
      <c r="I86" s="236"/>
    </row>
    <row r="87" spans="6:17" ht="15">
      <c r="F87" s="261"/>
      <c r="I87" s="225"/>
      <c r="Q87" s="223"/>
    </row>
    <row r="88" spans="1:17" ht="12.75" customHeight="1">
      <c r="A88" s="661" t="s">
        <v>315</v>
      </c>
      <c r="B88" s="661" t="s">
        <v>284</v>
      </c>
      <c r="C88" s="662" t="s">
        <v>320</v>
      </c>
      <c r="D88" s="663"/>
      <c r="E88" s="257"/>
      <c r="F88" s="673" t="s">
        <v>321</v>
      </c>
      <c r="G88" s="674"/>
      <c r="I88" s="225"/>
      <c r="Q88" s="223"/>
    </row>
    <row r="89" spans="1:17" ht="12.75">
      <c r="A89" s="661"/>
      <c r="B89" s="661"/>
      <c r="C89" s="664"/>
      <c r="D89" s="665"/>
      <c r="E89" s="258"/>
      <c r="F89" s="675"/>
      <c r="G89" s="676"/>
      <c r="I89" s="225"/>
      <c r="Q89" s="223"/>
    </row>
    <row r="90" spans="1:17" ht="24.75" customHeight="1">
      <c r="A90" s="259"/>
      <c r="B90" s="260"/>
      <c r="C90" s="643"/>
      <c r="D90" s="645"/>
      <c r="E90" s="240" t="s">
        <v>318</v>
      </c>
      <c r="F90" s="671" t="s">
        <v>318</v>
      </c>
      <c r="G90" s="672"/>
      <c r="I90" s="225"/>
      <c r="Q90" s="223"/>
    </row>
    <row r="91" spans="1:17" ht="23.25" customHeight="1">
      <c r="A91" s="259"/>
      <c r="B91" s="260"/>
      <c r="C91" s="643"/>
      <c r="D91" s="645"/>
      <c r="E91" s="240"/>
      <c r="F91" s="671"/>
      <c r="G91" s="672"/>
      <c r="I91" s="225"/>
      <c r="Q91" s="223"/>
    </row>
    <row r="92" spans="1:17" ht="26.25" customHeight="1">
      <c r="A92" s="259"/>
      <c r="B92" s="260"/>
      <c r="C92" s="643"/>
      <c r="D92" s="645"/>
      <c r="E92" s="240"/>
      <c r="F92" s="671"/>
      <c r="G92" s="672"/>
      <c r="I92" s="225"/>
      <c r="Q92" s="223"/>
    </row>
    <row r="93" spans="4:14" ht="15"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1"/>
    </row>
    <row r="94" ht="15">
      <c r="N94" s="261"/>
    </row>
    <row r="95" spans="1:17" s="263" customFormat="1" ht="15">
      <c r="A95" s="235" t="s">
        <v>322</v>
      </c>
      <c r="B95" s="235"/>
      <c r="N95" s="261"/>
      <c r="Q95" s="264"/>
    </row>
    <row r="96" ht="15">
      <c r="N96" s="261"/>
    </row>
    <row r="97" spans="1:5" s="226" customFormat="1" ht="15" customHeight="1">
      <c r="A97" s="661" t="s">
        <v>315</v>
      </c>
      <c r="B97" s="661" t="s">
        <v>323</v>
      </c>
      <c r="C97" s="661" t="s">
        <v>233</v>
      </c>
      <c r="D97" s="661" t="s">
        <v>234</v>
      </c>
      <c r="E97" s="666" t="s">
        <v>324</v>
      </c>
    </row>
    <row r="98" spans="1:5" s="226" customFormat="1" ht="22.5" customHeight="1">
      <c r="A98" s="661"/>
      <c r="B98" s="661"/>
      <c r="C98" s="661"/>
      <c r="D98" s="661"/>
      <c r="E98" s="666"/>
    </row>
    <row r="99" spans="1:5" s="226" customFormat="1" ht="63.75">
      <c r="A99" s="259">
        <v>1</v>
      </c>
      <c r="B99" s="265" t="s">
        <v>241</v>
      </c>
      <c r="C99" s="266"/>
      <c r="D99" s="267" t="s">
        <v>325</v>
      </c>
      <c r="E99" s="267" t="s">
        <v>325</v>
      </c>
    </row>
    <row r="100" spans="1:17" ht="13.5" customHeight="1">
      <c r="A100" s="259">
        <v>2</v>
      </c>
      <c r="B100" s="268" t="s">
        <v>243</v>
      </c>
      <c r="C100" s="266"/>
      <c r="D100" s="239" t="s">
        <v>244</v>
      </c>
      <c r="E100" s="242" t="s">
        <v>318</v>
      </c>
      <c r="Q100" s="223"/>
    </row>
    <row r="101" spans="1:17" ht="38.25">
      <c r="A101" s="259">
        <v>3</v>
      </c>
      <c r="B101" s="268" t="s">
        <v>245</v>
      </c>
      <c r="C101" s="266"/>
      <c r="D101" s="239" t="s">
        <v>246</v>
      </c>
      <c r="E101" s="239" t="s">
        <v>246</v>
      </c>
      <c r="Q101" s="223"/>
    </row>
    <row r="102" spans="1:17" ht="39" customHeight="1">
      <c r="A102" s="259">
        <v>4</v>
      </c>
      <c r="B102" s="268" t="s">
        <v>245</v>
      </c>
      <c r="C102" s="266"/>
      <c r="D102" s="269" t="s">
        <v>248</v>
      </c>
      <c r="E102" s="269" t="s">
        <v>248</v>
      </c>
      <c r="Q102" s="223"/>
    </row>
    <row r="103" spans="1:17" ht="12.75">
      <c r="A103" s="270"/>
      <c r="B103" s="271"/>
      <c r="C103" s="272"/>
      <c r="D103" s="272"/>
      <c r="E103" s="272"/>
      <c r="F103" s="272"/>
      <c r="H103" s="272"/>
      <c r="K103" s="225"/>
      <c r="Q103" s="223"/>
    </row>
    <row r="104" spans="1:17" ht="12.75">
      <c r="A104" s="270"/>
      <c r="B104" s="271"/>
      <c r="C104" s="272"/>
      <c r="D104" s="272"/>
      <c r="E104" s="272"/>
      <c r="F104" s="272"/>
      <c r="H104" s="272"/>
      <c r="K104" s="225"/>
      <c r="Q104" s="223"/>
    </row>
    <row r="105" spans="1:17" ht="12.75">
      <c r="A105" s="270"/>
      <c r="B105" s="271"/>
      <c r="C105" s="272"/>
      <c r="D105" s="272"/>
      <c r="E105" s="272"/>
      <c r="F105" s="272"/>
      <c r="H105" s="272"/>
      <c r="K105" s="225"/>
      <c r="Q105" s="223"/>
    </row>
    <row r="106" spans="1:11" s="235" customFormat="1" ht="15">
      <c r="A106" s="235" t="s">
        <v>326</v>
      </c>
      <c r="K106" s="236"/>
    </row>
    <row r="107" spans="11:17" ht="12.75">
      <c r="K107" s="225"/>
      <c r="Q107" s="223"/>
    </row>
    <row r="108" spans="1:5" s="226" customFormat="1" ht="51">
      <c r="A108" s="668" t="s">
        <v>327</v>
      </c>
      <c r="B108" s="668"/>
      <c r="C108" s="239" t="s">
        <v>261</v>
      </c>
      <c r="D108" s="237" t="s">
        <v>328</v>
      </c>
      <c r="E108" s="239" t="s">
        <v>329</v>
      </c>
    </row>
    <row r="109" spans="1:5" s="226" customFormat="1" ht="42" customHeight="1">
      <c r="A109" s="669" t="s">
        <v>289</v>
      </c>
      <c r="B109" s="669"/>
      <c r="C109" s="239" t="s">
        <v>351</v>
      </c>
      <c r="D109" s="284">
        <f>C58+C64</f>
        <v>13578.299250000002</v>
      </c>
      <c r="E109" s="259">
        <f>D31</f>
        <v>152</v>
      </c>
    </row>
    <row r="111" s="273" customFormat="1" ht="13.5" customHeight="1" thickBot="1"/>
    <row r="112" spans="1:2" s="273" customFormat="1" ht="15">
      <c r="A112" s="274" t="s">
        <v>203</v>
      </c>
      <c r="B112" s="275" t="s">
        <v>330</v>
      </c>
    </row>
    <row r="113" spans="1:17" s="226" customFormat="1" ht="15">
      <c r="A113" s="235" t="s">
        <v>331</v>
      </c>
      <c r="Q113" s="229"/>
    </row>
    <row r="114" spans="1:17" s="226" customFormat="1" ht="15">
      <c r="A114" s="235"/>
      <c r="Q114" s="229"/>
    </row>
    <row r="115" spans="1:17" s="263" customFormat="1" ht="17.25" customHeight="1">
      <c r="A115" s="670" t="s">
        <v>332</v>
      </c>
      <c r="B115" s="670"/>
      <c r="C115" s="670"/>
      <c r="D115" s="670"/>
      <c r="E115" s="670"/>
      <c r="F115" s="670"/>
      <c r="G115" s="670"/>
      <c r="H115" s="670"/>
      <c r="I115" s="670"/>
      <c r="J115" s="670"/>
      <c r="K115" s="670"/>
      <c r="L115" s="670"/>
      <c r="M115" s="670"/>
      <c r="N115" s="670"/>
      <c r="O115" s="670"/>
      <c r="Q115" s="264"/>
    </row>
    <row r="117" spans="1:17" ht="12.75">
      <c r="A117" s="677" t="s">
        <v>359</v>
      </c>
      <c r="B117" s="677"/>
      <c r="C117" s="677"/>
      <c r="D117" s="677"/>
      <c r="E117" s="276"/>
      <c r="G117" s="225"/>
      <c r="Q117" s="223"/>
    </row>
    <row r="118" spans="1:17" ht="17.25" customHeight="1">
      <c r="A118" s="277"/>
      <c r="B118" s="277"/>
      <c r="C118" s="277"/>
      <c r="D118" s="277"/>
      <c r="E118" s="277"/>
      <c r="G118" s="225"/>
      <c r="Q118" s="223"/>
    </row>
    <row r="119" spans="1:17" ht="17.25" customHeight="1">
      <c r="A119" s="277"/>
      <c r="B119" s="277"/>
      <c r="C119" s="277"/>
      <c r="D119" s="277"/>
      <c r="E119" s="277"/>
      <c r="G119" s="225"/>
      <c r="Q119" s="223"/>
    </row>
    <row r="120" spans="1:17" ht="12.75">
      <c r="A120" s="272"/>
      <c r="B120" s="272"/>
      <c r="C120" s="272"/>
      <c r="D120" s="272"/>
      <c r="E120" s="272"/>
      <c r="G120" s="225"/>
      <c r="Q120" s="223"/>
    </row>
    <row r="121" ht="12.75" hidden="1"/>
    <row r="123" spans="1:17" s="226" customFormat="1" ht="36" customHeight="1">
      <c r="A123" s="670" t="s">
        <v>333</v>
      </c>
      <c r="B123" s="670"/>
      <c r="C123" s="670"/>
      <c r="D123" s="670"/>
      <c r="E123" s="670"/>
      <c r="F123" s="670"/>
      <c r="G123" s="670"/>
      <c r="H123" s="670"/>
      <c r="I123" s="670"/>
      <c r="J123" s="670"/>
      <c r="K123" s="670"/>
      <c r="L123" s="670"/>
      <c r="M123" s="670"/>
      <c r="N123" s="670"/>
      <c r="O123" s="670"/>
      <c r="Q123" s="229"/>
    </row>
    <row r="125" spans="1:17" ht="12.75">
      <c r="A125" s="276" t="s">
        <v>362</v>
      </c>
      <c r="B125" s="276"/>
      <c r="C125" s="276"/>
      <c r="D125" s="276"/>
      <c r="E125" s="276"/>
      <c r="F125" s="276"/>
      <c r="G125" s="225"/>
      <c r="Q125" s="223"/>
    </row>
    <row r="126" spans="1:17" ht="17.25" customHeight="1">
      <c r="A126" s="277"/>
      <c r="B126" s="277"/>
      <c r="C126" s="277"/>
      <c r="D126" s="277"/>
      <c r="E126" s="277"/>
      <c r="G126" s="225"/>
      <c r="Q126" s="223"/>
    </row>
    <row r="127" spans="1:17" ht="15.75" customHeight="1">
      <c r="A127" s="277"/>
      <c r="B127" s="277"/>
      <c r="C127" s="277"/>
      <c r="D127" s="277"/>
      <c r="E127" s="277"/>
      <c r="G127" s="225"/>
      <c r="Q127" s="223"/>
    </row>
    <row r="128" spans="1:17" ht="12.75">
      <c r="A128" s="272"/>
      <c r="B128" s="272"/>
      <c r="C128" s="272"/>
      <c r="D128" s="272"/>
      <c r="E128" s="272"/>
      <c r="G128" s="225"/>
      <c r="Q128" s="223"/>
    </row>
    <row r="129" spans="7:17" ht="12.75">
      <c r="G129" s="225"/>
      <c r="Q129" s="223"/>
    </row>
    <row r="130" spans="1:17" s="235" customFormat="1" ht="27.75" customHeight="1">
      <c r="A130" s="235" t="s">
        <v>334</v>
      </c>
      <c r="Q130" s="236"/>
    </row>
    <row r="131" spans="2:17" ht="12.75">
      <c r="B131" s="272"/>
      <c r="G131" s="225"/>
      <c r="Q131" s="223"/>
    </row>
    <row r="132" spans="1:17" ht="12.75">
      <c r="A132" s="278" t="s">
        <v>363</v>
      </c>
      <c r="B132" s="276"/>
      <c r="C132" s="278"/>
      <c r="D132" s="278"/>
      <c r="E132" s="278"/>
      <c r="G132" s="225"/>
      <c r="Q132" s="223"/>
    </row>
    <row r="133" spans="1:17" ht="16.5" customHeight="1">
      <c r="A133" s="277"/>
      <c r="B133" s="277"/>
      <c r="C133" s="277"/>
      <c r="D133" s="277"/>
      <c r="E133" s="277"/>
      <c r="G133" s="225"/>
      <c r="Q133" s="223"/>
    </row>
    <row r="134" spans="1:17" ht="15.75" customHeight="1">
      <c r="A134" s="277"/>
      <c r="B134" s="277"/>
      <c r="C134" s="277"/>
      <c r="D134" s="277"/>
      <c r="E134" s="277"/>
      <c r="G134" s="225"/>
      <c r="Q134" s="223"/>
    </row>
    <row r="135" spans="1:14" ht="12.7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</row>
    <row r="136" spans="1:14" ht="12.7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</row>
    <row r="137" spans="1:14" ht="12.7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</row>
    <row r="140" spans="1:13" s="226" customFormat="1" ht="16.5">
      <c r="A140" s="667" t="s">
        <v>352</v>
      </c>
      <c r="B140" s="667"/>
      <c r="D140" s="285"/>
      <c r="L140" s="285" t="s">
        <v>132</v>
      </c>
      <c r="M140" s="226" t="s">
        <v>283</v>
      </c>
    </row>
    <row r="141" spans="1:17" s="226" customFormat="1" ht="16.5">
      <c r="A141" s="279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Q141" s="229"/>
    </row>
    <row r="142" spans="1:16" s="226" customFormat="1" ht="16.5">
      <c r="A142" s="279"/>
      <c r="B142" s="236" t="s">
        <v>284</v>
      </c>
      <c r="C142" s="358">
        <v>41558</v>
      </c>
      <c r="D142" s="236" t="s">
        <v>285</v>
      </c>
      <c r="E142" s="236"/>
      <c r="F142" s="236"/>
      <c r="G142" s="236"/>
      <c r="H142" s="236"/>
      <c r="I142" s="236"/>
      <c r="J142" s="236"/>
      <c r="K142" s="236"/>
      <c r="L142" s="236"/>
      <c r="M142" s="236"/>
      <c r="P142" s="229"/>
    </row>
    <row r="143" spans="1:3" ht="21" customHeight="1">
      <c r="A143" s="281"/>
      <c r="B143" s="282"/>
      <c r="C143" s="282"/>
    </row>
    <row r="144" spans="1:3" ht="16.5" customHeight="1">
      <c r="A144" s="281"/>
      <c r="B144" s="282"/>
      <c r="C144" s="282"/>
    </row>
    <row r="145" spans="2:3" ht="12.75" customHeight="1">
      <c r="B145" s="282"/>
      <c r="C145" s="282"/>
    </row>
    <row r="146" spans="2:3" ht="12.75" customHeight="1">
      <c r="B146" s="282"/>
      <c r="C146" s="282"/>
    </row>
    <row r="147" spans="2:3" ht="12.75" customHeight="1">
      <c r="B147" s="282"/>
      <c r="C147" s="282"/>
    </row>
    <row r="148" spans="2:3" ht="12" customHeight="1">
      <c r="B148" s="282"/>
      <c r="C148" s="282"/>
    </row>
    <row r="149" ht="12" customHeight="1">
      <c r="C149" s="282"/>
    </row>
    <row r="150" ht="13.5" customHeight="1">
      <c r="C150" s="282"/>
    </row>
  </sheetData>
  <sheetProtection/>
  <mergeCells count="110">
    <mergeCell ref="A109:B109"/>
    <mergeCell ref="A115:O115"/>
    <mergeCell ref="A117:D117"/>
    <mergeCell ref="A123:O123"/>
    <mergeCell ref="A140:B140"/>
    <mergeCell ref="A97:A98"/>
    <mergeCell ref="B97:B98"/>
    <mergeCell ref="C97:C98"/>
    <mergeCell ref="D97:D98"/>
    <mergeCell ref="E97:E98"/>
    <mergeCell ref="A108:B108"/>
    <mergeCell ref="C90:D90"/>
    <mergeCell ref="F90:G90"/>
    <mergeCell ref="C91:D91"/>
    <mergeCell ref="F91:G91"/>
    <mergeCell ref="C92:D92"/>
    <mergeCell ref="F92:G92"/>
    <mergeCell ref="C82:D82"/>
    <mergeCell ref="F82:G82"/>
    <mergeCell ref="C83:D83"/>
    <mergeCell ref="F83:G83"/>
    <mergeCell ref="A88:A89"/>
    <mergeCell ref="B88:B89"/>
    <mergeCell ref="C88:D89"/>
    <mergeCell ref="F88:G89"/>
    <mergeCell ref="A79:A80"/>
    <mergeCell ref="B79:B80"/>
    <mergeCell ref="C79:D80"/>
    <mergeCell ref="F79:G80"/>
    <mergeCell ref="C81:D81"/>
    <mergeCell ref="F81:G81"/>
    <mergeCell ref="A70:B70"/>
    <mergeCell ref="C70:D70"/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7:P57"/>
    <mergeCell ref="A58:B58"/>
    <mergeCell ref="C58:D58"/>
    <mergeCell ref="A59:B59"/>
    <mergeCell ref="C59:D59"/>
    <mergeCell ref="A60:B60"/>
    <mergeCell ref="C60:D60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3:B33"/>
    <mergeCell ref="A34:B34"/>
    <mergeCell ref="A40:B40"/>
    <mergeCell ref="C40:D40"/>
    <mergeCell ref="N40:P40"/>
    <mergeCell ref="A41:P41"/>
    <mergeCell ref="A27:B27"/>
    <mergeCell ref="A28:B28"/>
    <mergeCell ref="A29:B29"/>
    <mergeCell ref="A30:P30"/>
    <mergeCell ref="A31:B31"/>
    <mergeCell ref="A32:B32"/>
    <mergeCell ref="A13:P13"/>
    <mergeCell ref="A14:P14"/>
    <mergeCell ref="A24:B24"/>
    <mergeCell ref="E24:P24"/>
    <mergeCell ref="A25:P25"/>
    <mergeCell ref="A26:B26"/>
  </mergeCells>
  <printOptions/>
  <pageMargins left="0.7" right="0.7" top="0.75" bottom="0.75" header="0.3" footer="0.3"/>
  <pageSetup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SheetLayoutView="100" zoomScalePageLayoutView="0" workbookViewId="0" topLeftCell="K17">
      <selection activeCell="V35" sqref="V35"/>
    </sheetView>
  </sheetViews>
  <sheetFormatPr defaultColWidth="9.00390625" defaultRowHeight="12.75"/>
  <cols>
    <col min="1" max="1" width="9.125" style="273" customWidth="1"/>
    <col min="2" max="2" width="33.625" style="273" customWidth="1"/>
    <col min="3" max="3" width="8.75390625" style="273" bestFit="1" customWidth="1"/>
    <col min="4" max="6" width="14.75390625" style="273" bestFit="1" customWidth="1"/>
    <col min="7" max="7" width="16.375" style="273" customWidth="1"/>
    <col min="8" max="8" width="14.75390625" style="273" bestFit="1" customWidth="1"/>
    <col min="9" max="9" width="15.00390625" style="273" customWidth="1"/>
    <col min="10" max="10" width="16.625" style="273" bestFit="1" customWidth="1"/>
    <col min="11" max="11" width="15.875" style="273" bestFit="1" customWidth="1"/>
    <col min="12" max="12" width="14.625" style="273" customWidth="1"/>
    <col min="13" max="13" width="14.75390625" style="273" bestFit="1" customWidth="1"/>
    <col min="14" max="14" width="15.00390625" style="273" customWidth="1"/>
    <col min="15" max="15" width="14.625" style="273" customWidth="1"/>
    <col min="16" max="16" width="14.25390625" style="273" customWidth="1"/>
    <col min="17" max="18" width="15.25390625" style="273" customWidth="1"/>
    <col min="19" max="19" width="15.875" style="273" bestFit="1" customWidth="1"/>
    <col min="20" max="20" width="17.25390625" style="273" customWidth="1"/>
    <col min="21" max="21" width="15.875" style="273" bestFit="1" customWidth="1"/>
    <col min="22" max="22" width="16.875" style="273" customWidth="1"/>
    <col min="23" max="23" width="9.125" style="11" customWidth="1"/>
  </cols>
  <sheetData>
    <row r="1" spans="2:20" ht="15">
      <c r="B1" s="591" t="s">
        <v>427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2:20" ht="15">
      <c r="B2" s="326"/>
      <c r="C2" s="592" t="s">
        <v>74</v>
      </c>
      <c r="D2" s="592" t="s">
        <v>147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3"/>
      <c r="T2" s="327"/>
    </row>
    <row r="3" spans="2:20" ht="15">
      <c r="B3" s="326"/>
      <c r="C3" s="592"/>
      <c r="D3" s="326">
        <v>1</v>
      </c>
      <c r="E3" s="326">
        <v>2</v>
      </c>
      <c r="F3" s="326">
        <v>3</v>
      </c>
      <c r="G3" s="326" t="s">
        <v>146</v>
      </c>
      <c r="H3" s="326">
        <v>4</v>
      </c>
      <c r="I3" s="326">
        <v>5</v>
      </c>
      <c r="J3" s="326">
        <v>6</v>
      </c>
      <c r="K3" s="326" t="s">
        <v>145</v>
      </c>
      <c r="L3" s="326">
        <v>7</v>
      </c>
      <c r="M3" s="326">
        <v>8</v>
      </c>
      <c r="N3" s="326">
        <v>9</v>
      </c>
      <c r="O3" s="326" t="s">
        <v>144</v>
      </c>
      <c r="P3" s="326">
        <v>10</v>
      </c>
      <c r="Q3" s="326">
        <v>11</v>
      </c>
      <c r="R3" s="326">
        <v>12</v>
      </c>
      <c r="S3" s="326" t="s">
        <v>143</v>
      </c>
      <c r="T3" s="326"/>
    </row>
    <row r="4" spans="1:23" ht="15">
      <c r="A4" s="594" t="s">
        <v>368</v>
      </c>
      <c r="B4" s="326"/>
      <c r="C4" s="438">
        <v>211</v>
      </c>
      <c r="D4" s="345">
        <f>SUM(D5:D6)</f>
        <v>1111166</v>
      </c>
      <c r="E4" s="345">
        <f>E5+E6</f>
        <v>2777913.76</v>
      </c>
      <c r="F4" s="345">
        <f>F5+F6</f>
        <v>2777914</v>
      </c>
      <c r="G4" s="345">
        <f>G5+G6</f>
        <v>6666993.76</v>
      </c>
      <c r="H4" s="345">
        <v>2777914</v>
      </c>
      <c r="I4" s="345">
        <v>2713394.9</v>
      </c>
      <c r="J4" s="345">
        <v>3760466</v>
      </c>
      <c r="K4" s="345">
        <f>H4+I4+J4</f>
        <v>9251774.9</v>
      </c>
      <c r="L4" s="345">
        <v>2797859</v>
      </c>
      <c r="M4" s="345">
        <v>1694086</v>
      </c>
      <c r="N4" s="345">
        <v>2212877.26</v>
      </c>
      <c r="O4" s="345">
        <f aca="true" t="shared" si="0" ref="O4:O9">L4+M4+N4</f>
        <v>6704822.26</v>
      </c>
      <c r="P4" s="345"/>
      <c r="Q4" s="345"/>
      <c r="R4" s="345"/>
      <c r="S4" s="345">
        <f>P4+Q4+R4</f>
        <v>0</v>
      </c>
      <c r="T4" s="345">
        <f>T5+T6</f>
        <v>22623590.92</v>
      </c>
      <c r="U4" s="329">
        <f>проверка!C7</f>
        <v>34066113</v>
      </c>
      <c r="V4" s="329">
        <f aca="true" t="shared" si="1" ref="V4:V11">U4-T4</f>
        <v>11442522.079999998</v>
      </c>
      <c r="W4" s="11" t="s">
        <v>335</v>
      </c>
    </row>
    <row r="5" spans="1:22" ht="33.75">
      <c r="A5" s="594"/>
      <c r="B5" s="322" t="s">
        <v>142</v>
      </c>
      <c r="C5" s="330">
        <v>211</v>
      </c>
      <c r="D5" s="346">
        <v>810630</v>
      </c>
      <c r="E5" s="346">
        <v>1666748.26</v>
      </c>
      <c r="F5" s="346">
        <f>E5</f>
        <v>1666748.26</v>
      </c>
      <c r="G5" s="347">
        <f>SUM(D5:F5)</f>
        <v>4144126.5199999996</v>
      </c>
      <c r="H5" s="346">
        <f>H4*60%</f>
        <v>1666748.4</v>
      </c>
      <c r="I5" s="346">
        <f>I4*60%</f>
        <v>1628036.94</v>
      </c>
      <c r="J5" s="346">
        <f>J4*60%</f>
        <v>2256279.6</v>
      </c>
      <c r="K5" s="348">
        <f>SUM(H5:J5)</f>
        <v>5551064.9399999995</v>
      </c>
      <c r="L5" s="346">
        <f>L4*60%</f>
        <v>1678715.4</v>
      </c>
      <c r="M5" s="346">
        <f>M4*60%</f>
        <v>1016451.6</v>
      </c>
      <c r="N5" s="346">
        <f>N4*60%</f>
        <v>1327726.356</v>
      </c>
      <c r="O5" s="428">
        <f t="shared" si="0"/>
        <v>4022893.3559999997</v>
      </c>
      <c r="P5" s="346"/>
      <c r="Q5" s="346"/>
      <c r="R5" s="346"/>
      <c r="S5" s="428">
        <f>P5+Q5+R5</f>
        <v>0</v>
      </c>
      <c r="T5" s="349">
        <f>S5+O5+K5+G5</f>
        <v>13718084.816</v>
      </c>
      <c r="U5" s="332">
        <f>'свод '!F16</f>
        <v>16929326.67</v>
      </c>
      <c r="V5" s="329">
        <f t="shared" si="1"/>
        <v>3211241.854000002</v>
      </c>
    </row>
    <row r="6" spans="1:22" ht="33.75">
      <c r="A6" s="594"/>
      <c r="B6" s="322" t="s">
        <v>53</v>
      </c>
      <c r="C6" s="333">
        <v>211</v>
      </c>
      <c r="D6" s="349">
        <v>300536</v>
      </c>
      <c r="E6" s="349">
        <v>1111165.5</v>
      </c>
      <c r="F6" s="349">
        <v>1111165.74</v>
      </c>
      <c r="G6" s="347">
        <f>SUM(D6:F6)</f>
        <v>2522867.24</v>
      </c>
      <c r="H6" s="349">
        <f>H4-H5</f>
        <v>1111165.6</v>
      </c>
      <c r="I6" s="349">
        <f>I4-I5</f>
        <v>1085357.96</v>
      </c>
      <c r="J6" s="349">
        <f>J4-J5</f>
        <v>1504186.4</v>
      </c>
      <c r="K6" s="348">
        <f>SUM(H6:J6)</f>
        <v>3700709.96</v>
      </c>
      <c r="L6" s="349">
        <f>L4-L5</f>
        <v>1119143.6</v>
      </c>
      <c r="M6" s="349">
        <f>M4-M5</f>
        <v>677634.4</v>
      </c>
      <c r="N6" s="349">
        <f>N4-N5</f>
        <v>885150.9039999999</v>
      </c>
      <c r="O6" s="428">
        <f t="shared" si="0"/>
        <v>2681928.904</v>
      </c>
      <c r="P6" s="349"/>
      <c r="Q6" s="349"/>
      <c r="R6" s="349"/>
      <c r="S6" s="428">
        <f>P6+Q6+R6</f>
        <v>0</v>
      </c>
      <c r="T6" s="349">
        <f aca="true" t="shared" si="2" ref="T6:T27">S6+O6+K6+G6</f>
        <v>8905506.104</v>
      </c>
      <c r="U6" s="329">
        <f>'свод '!F36</f>
        <v>17136786.330000002</v>
      </c>
      <c r="V6" s="329">
        <f t="shared" si="1"/>
        <v>8231280.226000002</v>
      </c>
    </row>
    <row r="7" spans="1:22" ht="45">
      <c r="A7" s="594"/>
      <c r="B7" s="322" t="s">
        <v>141</v>
      </c>
      <c r="C7" s="333">
        <v>213</v>
      </c>
      <c r="D7" s="349"/>
      <c r="E7" s="349">
        <v>461026</v>
      </c>
      <c r="F7" s="349">
        <f>E7</f>
        <v>461026</v>
      </c>
      <c r="G7" s="347">
        <f>SUM(D7:F7)</f>
        <v>922052</v>
      </c>
      <c r="H7" s="349">
        <f>H5*30.2%</f>
        <v>503358.0168</v>
      </c>
      <c r="I7" s="349">
        <f>I5*30.2%</f>
        <v>491667.15588</v>
      </c>
      <c r="J7" s="349">
        <f>J5*30.2%</f>
        <v>681396.4392</v>
      </c>
      <c r="K7" s="348">
        <f>SUM(H7:J7)</f>
        <v>1676421.61188</v>
      </c>
      <c r="L7" s="349">
        <f>L5*30.2/100</f>
        <v>506972.05079999997</v>
      </c>
      <c r="M7" s="349">
        <f>M5*30.2/100</f>
        <v>306968.3832</v>
      </c>
      <c r="N7" s="349">
        <f>N5*30.2/100</f>
        <v>400973.35951199994</v>
      </c>
      <c r="O7" s="428">
        <f t="shared" si="0"/>
        <v>1214913.7935119998</v>
      </c>
      <c r="P7" s="349"/>
      <c r="Q7" s="349"/>
      <c r="R7" s="349"/>
      <c r="S7" s="428">
        <f>P7+Q7+R7</f>
        <v>0</v>
      </c>
      <c r="T7" s="349">
        <f t="shared" si="2"/>
        <v>3813387.4053919995</v>
      </c>
      <c r="U7" s="329">
        <f>'свод '!F17</f>
        <v>5112656.65</v>
      </c>
      <c r="V7" s="329">
        <f t="shared" si="1"/>
        <v>1299269.2446080009</v>
      </c>
    </row>
    <row r="8" spans="1:22" ht="45">
      <c r="A8" s="594"/>
      <c r="B8" s="322" t="s">
        <v>349</v>
      </c>
      <c r="C8" s="330">
        <v>213</v>
      </c>
      <c r="D8" s="349">
        <f>D9-D7</f>
        <v>0</v>
      </c>
      <c r="E8" s="349">
        <v>377904.24</v>
      </c>
      <c r="F8" s="349">
        <v>377904</v>
      </c>
      <c r="G8" s="347">
        <f>SUM(D8:F8)</f>
        <v>755808.24</v>
      </c>
      <c r="H8" s="349">
        <f>H9-H7</f>
        <v>335571.9832</v>
      </c>
      <c r="I8" s="349">
        <f>I9-I7</f>
        <v>347262.94412</v>
      </c>
      <c r="J8" s="349">
        <f>J9-J7</f>
        <v>627727.5608</v>
      </c>
      <c r="K8" s="348">
        <f>SUM(H8:J8)</f>
        <v>1310562.4881199999</v>
      </c>
      <c r="L8" s="349">
        <f>L9-L7</f>
        <v>280305.94920000003</v>
      </c>
      <c r="M8" s="349">
        <f>M9-M7</f>
        <v>133844.61680000002</v>
      </c>
      <c r="N8" s="349">
        <f>N9-N7</f>
        <v>225597.9304880001</v>
      </c>
      <c r="O8" s="428">
        <f t="shared" si="0"/>
        <v>639748.4964880001</v>
      </c>
      <c r="P8" s="349"/>
      <c r="Q8" s="349"/>
      <c r="R8" s="349"/>
      <c r="S8" s="428">
        <f>P8+Q8+R8</f>
        <v>0</v>
      </c>
      <c r="T8" s="349">
        <f t="shared" si="2"/>
        <v>2706119.2246080004</v>
      </c>
      <c r="U8" s="335">
        <f>'свод '!F38</f>
        <v>5175310.35</v>
      </c>
      <c r="V8" s="329">
        <f t="shared" si="1"/>
        <v>2469191.1253919993</v>
      </c>
    </row>
    <row r="9" spans="1:23" ht="15">
      <c r="A9" s="594"/>
      <c r="B9" s="322"/>
      <c r="C9" s="331">
        <v>213</v>
      </c>
      <c r="D9" s="345"/>
      <c r="E9" s="345">
        <f>SUM(E7:E8)</f>
        <v>838930.24</v>
      </c>
      <c r="F9" s="345">
        <f>F7+F8</f>
        <v>838930</v>
      </c>
      <c r="G9" s="345">
        <f>E9+F9</f>
        <v>1677860.24</v>
      </c>
      <c r="H9" s="345">
        <v>838930</v>
      </c>
      <c r="I9" s="345">
        <v>838930.1</v>
      </c>
      <c r="J9" s="345">
        <v>1309124</v>
      </c>
      <c r="K9" s="345">
        <f>H9+I9+J9</f>
        <v>2986984.1</v>
      </c>
      <c r="L9" s="345">
        <v>787278</v>
      </c>
      <c r="M9" s="345">
        <v>440813</v>
      </c>
      <c r="N9" s="345">
        <v>626571.29</v>
      </c>
      <c r="O9" s="345">
        <f t="shared" si="0"/>
        <v>1854662.29</v>
      </c>
      <c r="P9" s="345"/>
      <c r="Q9" s="345"/>
      <c r="R9" s="345"/>
      <c r="S9" s="345"/>
      <c r="T9" s="345">
        <f>T7+T8</f>
        <v>6519506.63</v>
      </c>
      <c r="U9" s="332">
        <f>проверка!C8</f>
        <v>10287967</v>
      </c>
      <c r="V9" s="329">
        <f t="shared" si="1"/>
        <v>3768460.37</v>
      </c>
      <c r="W9" s="11" t="s">
        <v>335</v>
      </c>
    </row>
    <row r="10" spans="1:23" ht="15">
      <c r="A10" s="594"/>
      <c r="B10" s="260" t="s">
        <v>139</v>
      </c>
      <c r="C10" s="326">
        <v>226</v>
      </c>
      <c r="D10" s="349"/>
      <c r="E10" s="349"/>
      <c r="F10" s="349">
        <v>10931</v>
      </c>
      <c r="G10" s="347">
        <f>D10+E10+F10</f>
        <v>10931</v>
      </c>
      <c r="H10" s="349"/>
      <c r="I10" s="349"/>
      <c r="J10" s="349">
        <v>10931</v>
      </c>
      <c r="K10" s="347">
        <f>SUM(H10:J10)</f>
        <v>10931</v>
      </c>
      <c r="L10" s="349"/>
      <c r="M10" s="349"/>
      <c r="N10" s="349">
        <v>9194.45</v>
      </c>
      <c r="O10" s="347">
        <f>N10+M10+L10</f>
        <v>9194.45</v>
      </c>
      <c r="P10" s="349"/>
      <c r="Q10" s="349"/>
      <c r="R10" s="349"/>
      <c r="S10" s="347"/>
      <c r="T10" s="349">
        <f>S10+O10+K10+G10</f>
        <v>31056.45</v>
      </c>
      <c r="U10" s="332">
        <f>проверка!C9</f>
        <v>32793</v>
      </c>
      <c r="V10" s="329">
        <f t="shared" si="1"/>
        <v>1736.5499999999993</v>
      </c>
      <c r="W10" s="11" t="s">
        <v>335</v>
      </c>
    </row>
    <row r="11" spans="1:23" ht="15">
      <c r="A11" s="594"/>
      <c r="B11" s="325" t="s">
        <v>370</v>
      </c>
      <c r="C11" s="326">
        <v>340</v>
      </c>
      <c r="D11" s="349"/>
      <c r="E11" s="349"/>
      <c r="F11" s="349">
        <f>G11-D11-E11</f>
        <v>0</v>
      </c>
      <c r="G11" s="347">
        <v>0</v>
      </c>
      <c r="H11" s="349">
        <v>201008</v>
      </c>
      <c r="I11" s="349"/>
      <c r="J11" s="349"/>
      <c r="K11" s="347">
        <f>SUM(H11:J11)</f>
        <v>201008</v>
      </c>
      <c r="L11" s="349"/>
      <c r="M11" s="349"/>
      <c r="N11" s="349"/>
      <c r="O11" s="347">
        <f>N11+M11+L11</f>
        <v>0</v>
      </c>
      <c r="P11" s="349"/>
      <c r="Q11" s="349"/>
      <c r="R11" s="349"/>
      <c r="S11" s="347">
        <v>0</v>
      </c>
      <c r="T11" s="349">
        <f>S11+O11+K11+G11</f>
        <v>201008</v>
      </c>
      <c r="U11" s="332">
        <f>проверка!C10</f>
        <v>307188</v>
      </c>
      <c r="V11" s="329">
        <f t="shared" si="1"/>
        <v>106180</v>
      </c>
      <c r="W11" s="11" t="s">
        <v>335</v>
      </c>
    </row>
    <row r="12" spans="1:22" ht="15">
      <c r="A12" s="594"/>
      <c r="B12" s="322"/>
      <c r="C12" s="331"/>
      <c r="D12" s="345">
        <f>D9+D4</f>
        <v>1111166</v>
      </c>
      <c r="E12" s="345">
        <f>E9+E4</f>
        <v>3616844</v>
      </c>
      <c r="F12" s="345">
        <f>F9+F4</f>
        <v>3616844</v>
      </c>
      <c r="G12" s="345">
        <f>D12+E12+F12</f>
        <v>8344854</v>
      </c>
      <c r="H12" s="345">
        <f>H9+H4</f>
        <v>3616844</v>
      </c>
      <c r="I12" s="345">
        <f>I9+I4</f>
        <v>3552325</v>
      </c>
      <c r="J12" s="345">
        <f>J9+J4</f>
        <v>5069590</v>
      </c>
      <c r="K12" s="345">
        <f>H12+I12+J12</f>
        <v>12238759</v>
      </c>
      <c r="L12" s="345"/>
      <c r="M12" s="345"/>
      <c r="N12" s="345"/>
      <c r="O12" s="345"/>
      <c r="P12" s="345"/>
      <c r="Q12" s="345"/>
      <c r="R12" s="345"/>
      <c r="S12" s="345"/>
      <c r="T12" s="345">
        <f t="shared" si="2"/>
        <v>20583613</v>
      </c>
      <c r="U12" s="332"/>
      <c r="V12" s="329"/>
    </row>
    <row r="13" spans="1:23" ht="15">
      <c r="A13" s="439"/>
      <c r="B13" s="322"/>
      <c r="C13" s="331"/>
      <c r="D13" s="345">
        <f aca="true" t="shared" si="3" ref="D13:J13">D15</f>
        <v>83810</v>
      </c>
      <c r="E13" s="345">
        <f t="shared" si="3"/>
        <v>206185</v>
      </c>
      <c r="F13" s="345">
        <f t="shared" si="3"/>
        <v>207139</v>
      </c>
      <c r="G13" s="345">
        <f t="shared" si="3"/>
        <v>497134</v>
      </c>
      <c r="H13" s="345">
        <f t="shared" si="3"/>
        <v>207539</v>
      </c>
      <c r="I13" s="345">
        <f t="shared" si="3"/>
        <v>207538.89</v>
      </c>
      <c r="J13" s="345">
        <f t="shared" si="3"/>
        <v>206339.11</v>
      </c>
      <c r="K13" s="345">
        <f>H13+I13+J13</f>
        <v>621417</v>
      </c>
      <c r="L13" s="345">
        <f>L15</f>
        <v>342467.39</v>
      </c>
      <c r="M13" s="345">
        <f>M14+M15</f>
        <v>102690</v>
      </c>
      <c r="N13" s="345">
        <f>N15</f>
        <v>176259.61</v>
      </c>
      <c r="O13" s="345">
        <f aca="true" t="shared" si="4" ref="O13:O24">L13+M13+N13</f>
        <v>621417</v>
      </c>
      <c r="P13" s="345"/>
      <c r="Q13" s="345"/>
      <c r="R13" s="345"/>
      <c r="S13" s="345">
        <f aca="true" t="shared" si="5" ref="S13:S18">P13+Q13+R13</f>
        <v>0</v>
      </c>
      <c r="T13" s="345">
        <f>T15</f>
        <v>1739968</v>
      </c>
      <c r="U13" s="332">
        <f>проверка!C12</f>
        <v>2485668</v>
      </c>
      <c r="V13" s="329">
        <f aca="true" t="shared" si="6" ref="V13:V24">U13-T13</f>
        <v>745700</v>
      </c>
      <c r="W13" s="11" t="s">
        <v>335</v>
      </c>
    </row>
    <row r="14" spans="1:22" ht="33.75">
      <c r="A14" s="439"/>
      <c r="B14" s="322" t="s">
        <v>142</v>
      </c>
      <c r="C14" s="331" t="s">
        <v>71</v>
      </c>
      <c r="D14" s="349"/>
      <c r="E14" s="349"/>
      <c r="F14" s="349"/>
      <c r="G14" s="417"/>
      <c r="H14" s="349"/>
      <c r="I14" s="349"/>
      <c r="J14" s="349"/>
      <c r="K14" s="417"/>
      <c r="L14" s="349"/>
      <c r="M14" s="349"/>
      <c r="N14" s="349"/>
      <c r="O14" s="417">
        <f t="shared" si="4"/>
        <v>0</v>
      </c>
      <c r="P14" s="349"/>
      <c r="Q14" s="349"/>
      <c r="R14" s="349"/>
      <c r="S14" s="417">
        <f t="shared" si="5"/>
        <v>0</v>
      </c>
      <c r="T14" s="349">
        <f>G14+K14+O14+S14</f>
        <v>0</v>
      </c>
      <c r="U14" s="332"/>
      <c r="V14" s="329">
        <f>U14-T14</f>
        <v>0</v>
      </c>
    </row>
    <row r="15" spans="1:22" ht="33.75">
      <c r="A15" s="439"/>
      <c r="B15" s="322" t="s">
        <v>53</v>
      </c>
      <c r="C15" s="331"/>
      <c r="D15" s="349">
        <v>83810</v>
      </c>
      <c r="E15" s="349">
        <v>206185</v>
      </c>
      <c r="F15" s="349">
        <v>207139</v>
      </c>
      <c r="G15" s="417">
        <f>D15+E15+F15</f>
        <v>497134</v>
      </c>
      <c r="H15" s="349">
        <v>207539</v>
      </c>
      <c r="I15" s="349">
        <v>207538.89</v>
      </c>
      <c r="J15" s="349">
        <v>206339.11</v>
      </c>
      <c r="K15" s="417">
        <f>H15+I15+J15</f>
        <v>621417</v>
      </c>
      <c r="L15" s="349">
        <v>342467.39</v>
      </c>
      <c r="M15" s="349">
        <v>102690</v>
      </c>
      <c r="N15" s="349">
        <v>176259.61</v>
      </c>
      <c r="O15" s="417">
        <f t="shared" si="4"/>
        <v>621417</v>
      </c>
      <c r="P15" s="349"/>
      <c r="Q15" s="349"/>
      <c r="R15" s="349"/>
      <c r="S15" s="417">
        <f t="shared" si="5"/>
        <v>0</v>
      </c>
      <c r="T15" s="349">
        <f>G15+K15+O15+S15</f>
        <v>1739968</v>
      </c>
      <c r="U15" s="332">
        <f>'свод '!F41</f>
        <v>2485668</v>
      </c>
      <c r="V15" s="329">
        <f>U15-T15</f>
        <v>745700</v>
      </c>
    </row>
    <row r="16" spans="1:22" ht="45">
      <c r="A16" s="439"/>
      <c r="B16" s="322" t="s">
        <v>141</v>
      </c>
      <c r="C16" s="331"/>
      <c r="D16" s="349"/>
      <c r="E16" s="349"/>
      <c r="F16" s="349"/>
      <c r="G16" s="417"/>
      <c r="H16" s="349"/>
      <c r="I16" s="349"/>
      <c r="J16" s="349"/>
      <c r="K16" s="417"/>
      <c r="L16" s="349"/>
      <c r="M16" s="349"/>
      <c r="N16" s="349"/>
      <c r="O16" s="417">
        <f t="shared" si="4"/>
        <v>0</v>
      </c>
      <c r="P16" s="349"/>
      <c r="Q16" s="349"/>
      <c r="R16" s="349"/>
      <c r="S16" s="417">
        <f t="shared" si="5"/>
        <v>0</v>
      </c>
      <c r="T16" s="349">
        <f>G16+K16+O16+S16</f>
        <v>0</v>
      </c>
      <c r="U16" s="332"/>
      <c r="V16" s="329">
        <f t="shared" si="6"/>
        <v>0</v>
      </c>
    </row>
    <row r="17" spans="1:22" ht="45">
      <c r="A17" s="439"/>
      <c r="B17" s="322" t="s">
        <v>349</v>
      </c>
      <c r="C17" s="331"/>
      <c r="D17" s="349">
        <v>0</v>
      </c>
      <c r="E17" s="349">
        <v>62556</v>
      </c>
      <c r="F17" s="349">
        <v>62556</v>
      </c>
      <c r="G17" s="417">
        <f>E17+F17</f>
        <v>125112</v>
      </c>
      <c r="H17" s="349">
        <v>62556</v>
      </c>
      <c r="I17" s="349">
        <v>62556.11</v>
      </c>
      <c r="J17" s="349">
        <v>62555.89</v>
      </c>
      <c r="K17" s="417">
        <f>H17+I17+J17</f>
        <v>187668</v>
      </c>
      <c r="L17" s="349">
        <v>62556</v>
      </c>
      <c r="M17" s="349">
        <v>77747</v>
      </c>
      <c r="N17" s="349">
        <v>47365</v>
      </c>
      <c r="O17" s="417">
        <f t="shared" si="4"/>
        <v>187668</v>
      </c>
      <c r="P17" s="349"/>
      <c r="Q17" s="349"/>
      <c r="R17" s="349"/>
      <c r="S17" s="417">
        <f t="shared" si="5"/>
        <v>0</v>
      </c>
      <c r="T17" s="349">
        <f>G17+K17+O17+S17</f>
        <v>500448</v>
      </c>
      <c r="U17" s="332">
        <f>'свод '!F42</f>
        <v>750672</v>
      </c>
      <c r="V17" s="329">
        <f t="shared" si="6"/>
        <v>250224</v>
      </c>
    </row>
    <row r="18" spans="1:23" ht="15">
      <c r="A18" s="439"/>
      <c r="B18" s="322"/>
      <c r="C18" s="331"/>
      <c r="D18" s="345">
        <f aca="true" t="shared" si="7" ref="D18:J18">D17</f>
        <v>0</v>
      </c>
      <c r="E18" s="345">
        <f t="shared" si="7"/>
        <v>62556</v>
      </c>
      <c r="F18" s="345">
        <f t="shared" si="7"/>
        <v>62556</v>
      </c>
      <c r="G18" s="345">
        <f t="shared" si="7"/>
        <v>125112</v>
      </c>
      <c r="H18" s="345">
        <f t="shared" si="7"/>
        <v>62556</v>
      </c>
      <c r="I18" s="345">
        <f t="shared" si="7"/>
        <v>62556.11</v>
      </c>
      <c r="J18" s="345">
        <f t="shared" si="7"/>
        <v>62555.89</v>
      </c>
      <c r="K18" s="345">
        <f>H18+I18+J18</f>
        <v>187668</v>
      </c>
      <c r="L18" s="345">
        <f>L17</f>
        <v>62556</v>
      </c>
      <c r="M18" s="345">
        <f>M16+M17</f>
        <v>77747</v>
      </c>
      <c r="N18" s="345">
        <f>N17</f>
        <v>47365</v>
      </c>
      <c r="O18" s="345">
        <f t="shared" si="4"/>
        <v>187668</v>
      </c>
      <c r="P18" s="345"/>
      <c r="Q18" s="345"/>
      <c r="R18" s="345"/>
      <c r="S18" s="345">
        <f t="shared" si="5"/>
        <v>0</v>
      </c>
      <c r="T18" s="345">
        <f>T17</f>
        <v>500448</v>
      </c>
      <c r="U18" s="332">
        <f>проверка!C14</f>
        <v>750672</v>
      </c>
      <c r="V18" s="329">
        <f t="shared" si="6"/>
        <v>250224</v>
      </c>
      <c r="W18" s="11" t="s">
        <v>335</v>
      </c>
    </row>
    <row r="19" spans="1:23" ht="22.5">
      <c r="A19" s="594" t="s">
        <v>369</v>
      </c>
      <c r="B19" s="322" t="s">
        <v>51</v>
      </c>
      <c r="C19" s="326">
        <v>212</v>
      </c>
      <c r="D19" s="349">
        <v>398.38</v>
      </c>
      <c r="E19" s="349">
        <v>0</v>
      </c>
      <c r="F19" s="349">
        <v>742.68</v>
      </c>
      <c r="G19" s="347">
        <f aca="true" t="shared" si="8" ref="G19:G24">SUM(D19:F19)</f>
        <v>1141.06</v>
      </c>
      <c r="H19" s="349"/>
      <c r="I19" s="349"/>
      <c r="J19" s="349">
        <v>1251.61</v>
      </c>
      <c r="K19" s="347">
        <f>SUM(H19:J19)</f>
        <v>1251.61</v>
      </c>
      <c r="L19" s="349"/>
      <c r="M19" s="349"/>
      <c r="N19" s="349">
        <v>474.2</v>
      </c>
      <c r="O19" s="347">
        <f t="shared" si="4"/>
        <v>474.2</v>
      </c>
      <c r="P19" s="349"/>
      <c r="Q19" s="349"/>
      <c r="R19" s="349"/>
      <c r="S19" s="347">
        <f>Q19+P19+R19</f>
        <v>0</v>
      </c>
      <c r="T19" s="349">
        <f t="shared" si="2"/>
        <v>2866.87</v>
      </c>
      <c r="U19" s="329">
        <f>проверка!C13</f>
        <v>8400</v>
      </c>
      <c r="V19" s="329">
        <f t="shared" si="6"/>
        <v>5533.13</v>
      </c>
      <c r="W19" s="11" t="s">
        <v>335</v>
      </c>
    </row>
    <row r="20" spans="1:23" ht="15">
      <c r="A20" s="594"/>
      <c r="B20" s="260" t="s">
        <v>69</v>
      </c>
      <c r="C20" s="326">
        <v>221</v>
      </c>
      <c r="D20" s="349">
        <v>0</v>
      </c>
      <c r="E20" s="349">
        <v>12000</v>
      </c>
      <c r="F20" s="349">
        <v>2282.1</v>
      </c>
      <c r="G20" s="347">
        <f t="shared" si="8"/>
        <v>14282.1</v>
      </c>
      <c r="H20" s="349">
        <v>5496.98</v>
      </c>
      <c r="I20" s="349"/>
      <c r="J20" s="349">
        <v>10338.92</v>
      </c>
      <c r="K20" s="347">
        <f aca="true" t="shared" si="9" ref="K20:K26">SUM(H20:J20)</f>
        <v>15835.9</v>
      </c>
      <c r="L20" s="349"/>
      <c r="M20" s="349">
        <v>10000</v>
      </c>
      <c r="N20" s="349">
        <v>5000</v>
      </c>
      <c r="O20" s="347">
        <f t="shared" si="4"/>
        <v>15000</v>
      </c>
      <c r="P20" s="349"/>
      <c r="Q20" s="349"/>
      <c r="R20" s="349"/>
      <c r="S20" s="347">
        <f aca="true" t="shared" si="10" ref="S20:S26">Q20+P20+R20</f>
        <v>0</v>
      </c>
      <c r="T20" s="349">
        <f>S20+O20+K20+G20</f>
        <v>45118</v>
      </c>
      <c r="U20" s="329">
        <f>'свод '!F109</f>
        <v>60235</v>
      </c>
      <c r="V20" s="329">
        <f t="shared" si="6"/>
        <v>15117</v>
      </c>
      <c r="W20" s="11" t="s">
        <v>335</v>
      </c>
    </row>
    <row r="21" spans="1:23" ht="15">
      <c r="A21" s="594"/>
      <c r="B21" s="260" t="s">
        <v>136</v>
      </c>
      <c r="C21" s="326">
        <v>223</v>
      </c>
      <c r="D21" s="349">
        <v>437000</v>
      </c>
      <c r="E21" s="349">
        <v>449000</v>
      </c>
      <c r="F21" s="349">
        <v>270460.9</v>
      </c>
      <c r="G21" s="347">
        <f t="shared" si="8"/>
        <v>1156460.9</v>
      </c>
      <c r="H21" s="349">
        <v>724503.02</v>
      </c>
      <c r="I21" s="349"/>
      <c r="J21" s="349">
        <v>528146.08</v>
      </c>
      <c r="K21" s="347">
        <f t="shared" si="9"/>
        <v>1252649.1</v>
      </c>
      <c r="L21" s="349"/>
      <c r="M21" s="349">
        <v>219756.48</v>
      </c>
      <c r="N21" s="349">
        <v>121219.13</v>
      </c>
      <c r="O21" s="347">
        <f t="shared" si="4"/>
        <v>340975.61</v>
      </c>
      <c r="P21" s="349"/>
      <c r="Q21" s="349"/>
      <c r="R21" s="349"/>
      <c r="S21" s="347">
        <f t="shared" si="10"/>
        <v>0</v>
      </c>
      <c r="T21" s="349">
        <f t="shared" si="2"/>
        <v>2750085.61</v>
      </c>
      <c r="U21" s="329">
        <f>'свод '!F148</f>
        <v>3510500</v>
      </c>
      <c r="V21" s="329">
        <f t="shared" si="6"/>
        <v>760414.3900000001</v>
      </c>
      <c r="W21" s="11" t="s">
        <v>335</v>
      </c>
    </row>
    <row r="22" spans="1:23" ht="15">
      <c r="A22" s="594"/>
      <c r="B22" s="324" t="s">
        <v>140</v>
      </c>
      <c r="C22" s="326">
        <v>225</v>
      </c>
      <c r="D22" s="349">
        <v>0</v>
      </c>
      <c r="E22" s="349">
        <v>37494.78</v>
      </c>
      <c r="F22" s="349">
        <v>0</v>
      </c>
      <c r="G22" s="347">
        <f t="shared" si="8"/>
        <v>37494.78</v>
      </c>
      <c r="H22" s="349">
        <v>12000</v>
      </c>
      <c r="I22" s="349">
        <v>23000</v>
      </c>
      <c r="J22" s="349">
        <v>3082.16</v>
      </c>
      <c r="K22" s="347">
        <f t="shared" si="9"/>
        <v>38082.16</v>
      </c>
      <c r="L22" s="349">
        <v>35424</v>
      </c>
      <c r="M22" s="349">
        <v>770.54</v>
      </c>
      <c r="N22" s="349">
        <v>33376.7</v>
      </c>
      <c r="O22" s="347">
        <f t="shared" si="4"/>
        <v>69571.23999999999</v>
      </c>
      <c r="P22" s="349"/>
      <c r="Q22" s="349"/>
      <c r="R22" s="349"/>
      <c r="S22" s="347">
        <f t="shared" si="10"/>
        <v>0</v>
      </c>
      <c r="T22" s="349">
        <f t="shared" si="2"/>
        <v>145148.18</v>
      </c>
      <c r="U22" s="329">
        <f>проверка!C17</f>
        <v>639075</v>
      </c>
      <c r="V22" s="329">
        <f t="shared" si="6"/>
        <v>493926.82</v>
      </c>
      <c r="W22" s="11" t="s">
        <v>335</v>
      </c>
    </row>
    <row r="23" spans="1:23" ht="15">
      <c r="A23" s="594"/>
      <c r="B23" s="260" t="s">
        <v>139</v>
      </c>
      <c r="C23" s="326">
        <v>226</v>
      </c>
      <c r="D23" s="349">
        <v>0</v>
      </c>
      <c r="E23" s="349">
        <v>0</v>
      </c>
      <c r="F23" s="349">
        <v>0</v>
      </c>
      <c r="G23" s="347">
        <f t="shared" si="8"/>
        <v>0</v>
      </c>
      <c r="H23" s="349"/>
      <c r="I23" s="349">
        <v>4750.3</v>
      </c>
      <c r="J23" s="349">
        <v>4750.3</v>
      </c>
      <c r="K23" s="347">
        <f t="shared" si="9"/>
        <v>9500.6</v>
      </c>
      <c r="L23" s="349"/>
      <c r="M23" s="349">
        <v>8550.4</v>
      </c>
      <c r="N23" s="349"/>
      <c r="O23" s="347">
        <f t="shared" si="4"/>
        <v>8550.4</v>
      </c>
      <c r="P23" s="349"/>
      <c r="Q23" s="349"/>
      <c r="R23" s="349"/>
      <c r="S23" s="347">
        <f t="shared" si="10"/>
        <v>0</v>
      </c>
      <c r="T23" s="349">
        <f t="shared" si="2"/>
        <v>18051</v>
      </c>
      <c r="U23" s="329">
        <f>проверка!C18</f>
        <v>300554</v>
      </c>
      <c r="V23" s="329">
        <f t="shared" si="6"/>
        <v>282503</v>
      </c>
      <c r="W23" s="11" t="s">
        <v>335</v>
      </c>
    </row>
    <row r="24" spans="1:23" ht="15">
      <c r="A24" s="594"/>
      <c r="B24" s="372" t="s">
        <v>135</v>
      </c>
      <c r="C24" s="326">
        <v>290</v>
      </c>
      <c r="D24" s="349">
        <v>0</v>
      </c>
      <c r="E24" s="349">
        <v>212991.75</v>
      </c>
      <c r="F24" s="349">
        <v>426414.25</v>
      </c>
      <c r="G24" s="347">
        <f t="shared" si="8"/>
        <v>639406</v>
      </c>
      <c r="H24" s="349">
        <v>539406</v>
      </c>
      <c r="I24" s="349">
        <v>100000</v>
      </c>
      <c r="J24" s="349">
        <v>15948</v>
      </c>
      <c r="K24" s="347">
        <f t="shared" si="9"/>
        <v>655354</v>
      </c>
      <c r="L24" s="349">
        <v>532006</v>
      </c>
      <c r="M24" s="349">
        <v>110000</v>
      </c>
      <c r="N24" s="349"/>
      <c r="O24" s="347">
        <f t="shared" si="4"/>
        <v>642006</v>
      </c>
      <c r="P24" s="349"/>
      <c r="Q24" s="349"/>
      <c r="R24" s="349"/>
      <c r="S24" s="347">
        <f t="shared" si="10"/>
        <v>0</v>
      </c>
      <c r="T24" s="349">
        <f t="shared" si="2"/>
        <v>1936766</v>
      </c>
      <c r="U24" s="442">
        <f>'свод '!F159</f>
        <v>2576170</v>
      </c>
      <c r="V24" s="443">
        <f t="shared" si="6"/>
        <v>639404</v>
      </c>
      <c r="W24" s="11" t="s">
        <v>335</v>
      </c>
    </row>
    <row r="25" spans="1:22" ht="15">
      <c r="A25" s="594"/>
      <c r="B25" s="372" t="s">
        <v>371</v>
      </c>
      <c r="C25" s="326">
        <v>290</v>
      </c>
      <c r="D25" s="349"/>
      <c r="E25" s="349"/>
      <c r="F25" s="349">
        <f>G25-D25-E25</f>
        <v>0</v>
      </c>
      <c r="G25" s="347"/>
      <c r="H25" s="349"/>
      <c r="I25" s="349"/>
      <c r="J25" s="349"/>
      <c r="K25" s="347">
        <f t="shared" si="9"/>
        <v>0</v>
      </c>
      <c r="L25" s="349"/>
      <c r="M25" s="349"/>
      <c r="N25" s="349"/>
      <c r="O25" s="347"/>
      <c r="P25" s="349"/>
      <c r="Q25" s="349"/>
      <c r="R25" s="349"/>
      <c r="S25" s="347">
        <f t="shared" si="10"/>
        <v>0</v>
      </c>
      <c r="T25" s="349">
        <f t="shared" si="2"/>
        <v>0</v>
      </c>
      <c r="U25" s="336"/>
      <c r="V25" s="329"/>
    </row>
    <row r="26" spans="1:23" ht="15">
      <c r="A26" s="594"/>
      <c r="B26" s="325" t="s">
        <v>370</v>
      </c>
      <c r="C26" s="326">
        <v>340</v>
      </c>
      <c r="D26" s="349"/>
      <c r="E26" s="349"/>
      <c r="F26" s="349">
        <f>G26-D26-E26</f>
        <v>0</v>
      </c>
      <c r="G26" s="347"/>
      <c r="H26" s="349"/>
      <c r="I26" s="349"/>
      <c r="J26" s="349"/>
      <c r="K26" s="347">
        <f t="shared" si="9"/>
        <v>0</v>
      </c>
      <c r="L26" s="349"/>
      <c r="M26" s="349"/>
      <c r="N26" s="349"/>
      <c r="O26" s="347"/>
      <c r="P26" s="349"/>
      <c r="Q26" s="349"/>
      <c r="R26" s="349">
        <v>0</v>
      </c>
      <c r="S26" s="347">
        <f t="shared" si="10"/>
        <v>0</v>
      </c>
      <c r="T26" s="349">
        <f t="shared" si="2"/>
        <v>0</v>
      </c>
      <c r="U26" s="329">
        <f>проверка!C20</f>
        <v>654883</v>
      </c>
      <c r="V26" s="329">
        <f>U26-T26</f>
        <v>654883</v>
      </c>
      <c r="W26" s="11" t="s">
        <v>335</v>
      </c>
    </row>
    <row r="27" spans="1:22" ht="15">
      <c r="A27" s="366"/>
      <c r="B27" s="322"/>
      <c r="C27" s="331"/>
      <c r="D27" s="345">
        <f>D19+D20+D21+D22+D23+D24+D25+D26</f>
        <v>437398.38</v>
      </c>
      <c r="E27" s="345">
        <f>E19+E20+E21+E22+E23+E24+E25+E26</f>
        <v>711486.53</v>
      </c>
      <c r="F27" s="345">
        <f>F19+F20+F21+F22+F23+F24+F25+F26</f>
        <v>699899.93</v>
      </c>
      <c r="G27" s="345">
        <f>D27+E27+F27</f>
        <v>1848784.8400000003</v>
      </c>
      <c r="H27" s="345">
        <f>H19+H20+H21+H22+H23+H24+H25+H26</f>
        <v>1281406</v>
      </c>
      <c r="I27" s="345">
        <f>I19+I20+I21+I22+I23+I24+I25+I26</f>
        <v>127750.3</v>
      </c>
      <c r="J27" s="345">
        <f>J19+J20+J21+J22+J23+J24+J25+J26</f>
        <v>563517.0700000001</v>
      </c>
      <c r="K27" s="345">
        <f>H27+I27+J27</f>
        <v>1972673.37</v>
      </c>
      <c r="L27" s="345">
        <f>L19+L20+L21+L22+L23+L24+L25+L26</f>
        <v>567430</v>
      </c>
      <c r="M27" s="345">
        <f>M19+M20+M21+M22+M23+M24+M25+M26</f>
        <v>349077.42000000004</v>
      </c>
      <c r="N27" s="345">
        <f>N19+N20+N21+N22+N23+N24+N25+N26</f>
        <v>160070.03</v>
      </c>
      <c r="O27" s="345">
        <f>L27+M27+N27</f>
        <v>1076577.45</v>
      </c>
      <c r="P27" s="345">
        <f>P19+P20+P21+P22+P23+P24+P25+P26</f>
        <v>0</v>
      </c>
      <c r="Q27" s="345">
        <f>Q19+Q20+Q21+Q22+Q23+Q24+Q25+Q26</f>
        <v>0</v>
      </c>
      <c r="R27" s="345">
        <f>R19+R20+R21+R22+R23+R24+R25+R26</f>
        <v>0</v>
      </c>
      <c r="S27" s="345">
        <f>P27+Q27+R27</f>
        <v>0</v>
      </c>
      <c r="T27" s="345">
        <f t="shared" si="2"/>
        <v>4898035.66</v>
      </c>
      <c r="U27" s="329"/>
      <c r="V27" s="329"/>
    </row>
    <row r="28" spans="1:23" ht="14.25">
      <c r="A28" s="367"/>
      <c r="B28" s="368" t="s">
        <v>368</v>
      </c>
      <c r="C28" s="337"/>
      <c r="D28" s="369">
        <f aca="true" t="shared" si="11" ref="D28:S28">D29+D30</f>
        <v>1111166</v>
      </c>
      <c r="E28" s="369">
        <f t="shared" si="11"/>
        <v>3616844</v>
      </c>
      <c r="F28" s="369">
        <f t="shared" si="11"/>
        <v>3627775</v>
      </c>
      <c r="G28" s="369">
        <f t="shared" si="11"/>
        <v>8355785</v>
      </c>
      <c r="H28" s="369">
        <f t="shared" si="11"/>
        <v>3817852</v>
      </c>
      <c r="I28" s="369">
        <f t="shared" si="11"/>
        <v>3552325</v>
      </c>
      <c r="J28" s="369">
        <f t="shared" si="11"/>
        <v>5080521</v>
      </c>
      <c r="K28" s="369">
        <f t="shared" si="11"/>
        <v>12450698</v>
      </c>
      <c r="L28" s="369">
        <f t="shared" si="11"/>
        <v>3585137</v>
      </c>
      <c r="M28" s="369">
        <f t="shared" si="11"/>
        <v>2134899</v>
      </c>
      <c r="N28" s="369">
        <f t="shared" si="11"/>
        <v>2848643</v>
      </c>
      <c r="O28" s="369">
        <f t="shared" si="11"/>
        <v>8568679</v>
      </c>
      <c r="P28" s="369">
        <f t="shared" si="11"/>
        <v>0</v>
      </c>
      <c r="Q28" s="369">
        <f t="shared" si="11"/>
        <v>0</v>
      </c>
      <c r="R28" s="369">
        <f t="shared" si="11"/>
        <v>0</v>
      </c>
      <c r="S28" s="369">
        <f t="shared" si="11"/>
        <v>0</v>
      </c>
      <c r="T28" s="369">
        <f>G28+K28+O28+S28</f>
        <v>29375162</v>
      </c>
      <c r="U28" s="338">
        <f>U29+U30</f>
        <v>44694061</v>
      </c>
      <c r="V28" s="338">
        <f>V29+V30</f>
        <v>15318898.999999998</v>
      </c>
      <c r="W28" s="11" t="s">
        <v>335</v>
      </c>
    </row>
    <row r="29" spans="2:22" ht="15">
      <c r="B29" s="326" t="s">
        <v>137</v>
      </c>
      <c r="C29" s="326"/>
      <c r="D29" s="352">
        <f>D5+D7+D10+D11</f>
        <v>810630</v>
      </c>
      <c r="E29" s="352">
        <f>E5+E7+E10+E11</f>
        <v>2127774.26</v>
      </c>
      <c r="F29" s="352">
        <f>F5+F7+F10+F11</f>
        <v>2138705.26</v>
      </c>
      <c r="G29" s="352">
        <f>SUM(D29:F29)</f>
        <v>5077109.52</v>
      </c>
      <c r="H29" s="352">
        <f>H5+H7+H10+H11</f>
        <v>2371114.4168</v>
      </c>
      <c r="I29" s="352">
        <f>I5+I7+I10+I11</f>
        <v>2119704.09588</v>
      </c>
      <c r="J29" s="352">
        <f>J5+J7+J10+J11</f>
        <v>2948607.0392</v>
      </c>
      <c r="K29" s="352">
        <f>SUM(H29:J29)</f>
        <v>7439425.55188</v>
      </c>
      <c r="L29" s="352">
        <f>L5+L7+L10+L11</f>
        <v>2185687.4507999998</v>
      </c>
      <c r="M29" s="352">
        <f>M5+M7+M10+M11</f>
        <v>1323419.9832</v>
      </c>
      <c r="N29" s="352">
        <f>N5+N7+N10+N11</f>
        <v>1737894.1655119997</v>
      </c>
      <c r="O29" s="352">
        <f>SUM(L29:N29)</f>
        <v>5247001.599512</v>
      </c>
      <c r="P29" s="352">
        <f>P5+P7+P10+P11</f>
        <v>0</v>
      </c>
      <c r="Q29" s="352">
        <f>Q5+Q7+Q10+Q11</f>
        <v>0</v>
      </c>
      <c r="R29" s="352">
        <f>R5+R7+R10+R11</f>
        <v>0</v>
      </c>
      <c r="S29" s="352">
        <f>SUM(P29:R29)</f>
        <v>0</v>
      </c>
      <c r="T29" s="370">
        <f>G29+K29+O29+S29</f>
        <v>17763536.671392</v>
      </c>
      <c r="U29" s="329">
        <f>'свод '!F20</f>
        <v>22381964.32</v>
      </c>
      <c r="V29" s="329">
        <f>U29-T29</f>
        <v>4618427.648607999</v>
      </c>
    </row>
    <row r="30" spans="2:22" ht="15.75">
      <c r="B30" s="341" t="s">
        <v>138</v>
      </c>
      <c r="C30" s="326"/>
      <c r="D30" s="352">
        <f>D6+D8</f>
        <v>300536</v>
      </c>
      <c r="E30" s="352">
        <f>E6+E8</f>
        <v>1489069.74</v>
      </c>
      <c r="F30" s="352">
        <f>F6+F8</f>
        <v>1489069.74</v>
      </c>
      <c r="G30" s="352">
        <f>SUM(D30:F30)</f>
        <v>3278675.48</v>
      </c>
      <c r="H30" s="352">
        <f>H6+H8</f>
        <v>1446737.5832000002</v>
      </c>
      <c r="I30" s="352">
        <f>I6+I8</f>
        <v>1432620.90412</v>
      </c>
      <c r="J30" s="352">
        <f>J6+J8</f>
        <v>2131913.9608</v>
      </c>
      <c r="K30" s="352">
        <f>SUM(H30:J30)</f>
        <v>5011272.44812</v>
      </c>
      <c r="L30" s="352">
        <f>L6+L8</f>
        <v>1399449.5492000002</v>
      </c>
      <c r="M30" s="352">
        <f>M6+M8</f>
        <v>811479.0168000001</v>
      </c>
      <c r="N30" s="352">
        <f>N6+N8</f>
        <v>1110748.834488</v>
      </c>
      <c r="O30" s="352">
        <f>SUM(L30:N30)</f>
        <v>3321677.4004880004</v>
      </c>
      <c r="P30" s="352">
        <f>P6+P8</f>
        <v>0</v>
      </c>
      <c r="Q30" s="352">
        <f>Q6+Q8</f>
        <v>0</v>
      </c>
      <c r="R30" s="352">
        <f>R6+R8</f>
        <v>0</v>
      </c>
      <c r="S30" s="352">
        <f>SUM(P30:R30)</f>
        <v>0</v>
      </c>
      <c r="T30" s="370">
        <f>G30+K30+O30+S30</f>
        <v>11611625.328608</v>
      </c>
      <c r="U30" s="329">
        <f>'свод '!F39</f>
        <v>22312096.68</v>
      </c>
      <c r="V30" s="329">
        <f>U30-T30</f>
        <v>10700471.351391999</v>
      </c>
    </row>
    <row r="31" spans="1:23" ht="14.25">
      <c r="A31" s="339"/>
      <c r="B31" s="337" t="s">
        <v>369</v>
      </c>
      <c r="C31" s="337"/>
      <c r="D31" s="350">
        <f aca="true" t="shared" si="12" ref="D31:J31">D35+D34+D32+D33</f>
        <v>521208.38</v>
      </c>
      <c r="E31" s="350">
        <f t="shared" si="12"/>
        <v>980227.53</v>
      </c>
      <c r="F31" s="350">
        <f t="shared" si="12"/>
        <v>969594.9299999999</v>
      </c>
      <c r="G31" s="350">
        <f t="shared" si="12"/>
        <v>2471030.84</v>
      </c>
      <c r="H31" s="350">
        <f t="shared" si="12"/>
        <v>1551501</v>
      </c>
      <c r="I31" s="350">
        <f t="shared" si="12"/>
        <v>397845.3</v>
      </c>
      <c r="J31" s="350">
        <f t="shared" si="12"/>
        <v>832412.0700000001</v>
      </c>
      <c r="K31" s="350">
        <f>K35+K34+K33+K32</f>
        <v>2781758.37</v>
      </c>
      <c r="L31" s="350">
        <f aca="true" t="shared" si="13" ref="L31:S31">L35+L34</f>
        <v>567430</v>
      </c>
      <c r="M31" s="350">
        <f t="shared" si="13"/>
        <v>349077.42000000004</v>
      </c>
      <c r="N31" s="350">
        <f t="shared" si="13"/>
        <v>160070.03000000003</v>
      </c>
      <c r="O31" s="350">
        <f t="shared" si="13"/>
        <v>1076577.4500000002</v>
      </c>
      <c r="P31" s="350">
        <f t="shared" si="13"/>
        <v>0</v>
      </c>
      <c r="Q31" s="350">
        <f t="shared" si="13"/>
        <v>0</v>
      </c>
      <c r="R31" s="350">
        <f t="shared" si="13"/>
        <v>0</v>
      </c>
      <c r="S31" s="350">
        <f t="shared" si="13"/>
        <v>0</v>
      </c>
      <c r="T31" s="350">
        <f>T35+T34+T32+T33</f>
        <v>7138451.66</v>
      </c>
      <c r="U31" s="338">
        <f>U32+U33+U34+U35</f>
        <v>10986157</v>
      </c>
      <c r="V31" s="338">
        <f>V32+V33+V34+V35</f>
        <v>3847705.34</v>
      </c>
      <c r="W31" s="11" t="s">
        <v>335</v>
      </c>
    </row>
    <row r="32" spans="1:22" ht="15">
      <c r="A32" s="339"/>
      <c r="B32" s="326" t="s">
        <v>428</v>
      </c>
      <c r="C32" s="337"/>
      <c r="D32" s="352">
        <f>D15+D17</f>
        <v>83810</v>
      </c>
      <c r="E32" s="352">
        <f>E15+E17</f>
        <v>268741</v>
      </c>
      <c r="F32" s="352">
        <f>F15+F17</f>
        <v>269695</v>
      </c>
      <c r="G32" s="352">
        <f>D32+E32+F32</f>
        <v>622246</v>
      </c>
      <c r="H32" s="352">
        <f>H13+H18</f>
        <v>270095</v>
      </c>
      <c r="I32" s="352">
        <f>I13+I18</f>
        <v>270095</v>
      </c>
      <c r="J32" s="352">
        <f>J13+J18</f>
        <v>268895</v>
      </c>
      <c r="K32" s="352">
        <f>H32+I32+J32</f>
        <v>809085</v>
      </c>
      <c r="L32" s="352">
        <f>L18+L13</f>
        <v>405023.39</v>
      </c>
      <c r="M32" s="352">
        <f>M18+M13</f>
        <v>180437</v>
      </c>
      <c r="N32" s="352">
        <f>N18+N13</f>
        <v>223624.61</v>
      </c>
      <c r="O32" s="352">
        <f>M32+N32+L32</f>
        <v>809085</v>
      </c>
      <c r="P32" s="352"/>
      <c r="Q32" s="352"/>
      <c r="R32" s="352"/>
      <c r="S32" s="352">
        <v>0</v>
      </c>
      <c r="T32" s="352">
        <f>G32+K32+O32+S32</f>
        <v>2240416</v>
      </c>
      <c r="U32" s="329">
        <f>'свод '!F41+'свод '!F42</f>
        <v>3236340</v>
      </c>
      <c r="V32" s="329">
        <f>U32-T32</f>
        <v>995924</v>
      </c>
    </row>
    <row r="33" spans="1:22" ht="15">
      <c r="A33" s="339"/>
      <c r="B33" s="326"/>
      <c r="C33" s="337"/>
      <c r="D33" s="352"/>
      <c r="E33" s="352"/>
      <c r="F33" s="352"/>
      <c r="G33" s="352">
        <f>D33+E33+F33</f>
        <v>0</v>
      </c>
      <c r="H33" s="350"/>
      <c r="I33" s="350"/>
      <c r="J33" s="350"/>
      <c r="K33" s="352">
        <f>H33+I33+J33</f>
        <v>0</v>
      </c>
      <c r="L33" s="352"/>
      <c r="M33" s="352"/>
      <c r="N33" s="352"/>
      <c r="O33" s="352">
        <f>L33+M33+N33</f>
        <v>0</v>
      </c>
      <c r="P33" s="352"/>
      <c r="Q33" s="352">
        <f>Q19</f>
        <v>0</v>
      </c>
      <c r="R33" s="352">
        <f>R19</f>
        <v>0</v>
      </c>
      <c r="S33" s="352">
        <f>Q33+R33</f>
        <v>0</v>
      </c>
      <c r="T33" s="352">
        <f>S33+O33+K33+G33</f>
        <v>0</v>
      </c>
      <c r="U33" s="329"/>
      <c r="V33" s="329">
        <f>U33-T33</f>
        <v>0</v>
      </c>
    </row>
    <row r="34" spans="2:22" ht="15.75">
      <c r="B34" s="341" t="s">
        <v>138</v>
      </c>
      <c r="C34" s="326"/>
      <c r="D34" s="352">
        <f>D20+D21+D22+D23+D25+D26+D19</f>
        <v>437398.38</v>
      </c>
      <c r="E34" s="352">
        <f>E20+E21+E22+E23+E25+E26+E19</f>
        <v>498494.78</v>
      </c>
      <c r="F34" s="352">
        <f>F20+F21+F22+F23+F25+F26+F19</f>
        <v>273485.68</v>
      </c>
      <c r="G34" s="352">
        <f>SUM(D34:F34)</f>
        <v>1209378.84</v>
      </c>
      <c r="H34" s="352">
        <f>H20+H21+H22+H23+H25+H26+H19</f>
        <v>742000</v>
      </c>
      <c r="I34" s="352">
        <f>I20+I21+I22+I23+I25+I26+I19</f>
        <v>27750.3</v>
      </c>
      <c r="J34" s="352">
        <f>J20+J21+J22+J23+J25+J26+J19</f>
        <v>547569.0700000001</v>
      </c>
      <c r="K34" s="352">
        <f>SUM(H34:J34)</f>
        <v>1317319.37</v>
      </c>
      <c r="L34" s="352">
        <f>L20+L21+L22+L23+L25+L26+L19</f>
        <v>35424</v>
      </c>
      <c r="M34" s="352">
        <f>M20+M21+M22+M23+M25+M26+M19</f>
        <v>239077.42</v>
      </c>
      <c r="N34" s="352">
        <f>N20+N21+N22+N23+N25+N26+N19</f>
        <v>160070.03000000003</v>
      </c>
      <c r="O34" s="352">
        <f>SUM(L34:N34)</f>
        <v>434571.45000000007</v>
      </c>
      <c r="P34" s="352">
        <f>P19+P20+P21+P22+P23+P25+P26</f>
        <v>0</v>
      </c>
      <c r="Q34" s="352">
        <f>Q20+Q21+Q22+Q23+Q25+Q26</f>
        <v>0</v>
      </c>
      <c r="R34" s="352">
        <f>R20+R21+R22+R23+R25+R26</f>
        <v>0</v>
      </c>
      <c r="S34" s="352">
        <f>SUM(P34:R34)</f>
        <v>0</v>
      </c>
      <c r="T34" s="370">
        <f>S34+O34+K34+G34</f>
        <v>2961269.66</v>
      </c>
      <c r="U34" s="329">
        <f>'свод '!F81+'свод '!F109+'свод '!F120+'свод '!F132+'свод '!F148+'свод '!F43</f>
        <v>5173647</v>
      </c>
      <c r="V34" s="329">
        <f>U34-T34</f>
        <v>2212377.34</v>
      </c>
    </row>
    <row r="35" spans="2:22" ht="15">
      <c r="B35" s="326" t="s">
        <v>134</v>
      </c>
      <c r="C35" s="326"/>
      <c r="D35" s="352">
        <f>D24</f>
        <v>0</v>
      </c>
      <c r="E35" s="352">
        <f>E24</f>
        <v>212991.75</v>
      </c>
      <c r="F35" s="352">
        <f>F24</f>
        <v>426414.25</v>
      </c>
      <c r="G35" s="352">
        <f>SUM(D35:F35)</f>
        <v>639406</v>
      </c>
      <c r="H35" s="352">
        <f>H24</f>
        <v>539406</v>
      </c>
      <c r="I35" s="352">
        <f>I24</f>
        <v>100000</v>
      </c>
      <c r="J35" s="352">
        <f>J24</f>
        <v>15948</v>
      </c>
      <c r="K35" s="352">
        <f>SUM(H35:J35)</f>
        <v>655354</v>
      </c>
      <c r="L35" s="352">
        <f>L24</f>
        <v>532006</v>
      </c>
      <c r="M35" s="352">
        <f>M24</f>
        <v>110000</v>
      </c>
      <c r="N35" s="352">
        <f>N24</f>
        <v>0</v>
      </c>
      <c r="O35" s="352">
        <f>SUM(L35:N35)</f>
        <v>642006</v>
      </c>
      <c r="P35" s="352">
        <f>P24</f>
        <v>0</v>
      </c>
      <c r="Q35" s="352">
        <f>Q24</f>
        <v>0</v>
      </c>
      <c r="R35" s="352">
        <f>R24</f>
        <v>0</v>
      </c>
      <c r="S35" s="352">
        <f>SUM(P35:R35)</f>
        <v>0</v>
      </c>
      <c r="T35" s="370">
        <f>S35+O35+K35+G35</f>
        <v>1936766</v>
      </c>
      <c r="U35" s="329">
        <f>'свод '!F159</f>
        <v>2576170</v>
      </c>
      <c r="V35" s="329">
        <f>U35-T35</f>
        <v>639404</v>
      </c>
    </row>
    <row r="36" spans="1:23" ht="15.75">
      <c r="A36" s="343"/>
      <c r="B36" s="341" t="s">
        <v>133</v>
      </c>
      <c r="C36" s="341"/>
      <c r="D36" s="353">
        <f>D35+D29+D34+D30+D32+D33</f>
        <v>1632374.38</v>
      </c>
      <c r="E36" s="353">
        <f>E35+E29+E34+E30+E32</f>
        <v>4597071.53</v>
      </c>
      <c r="F36" s="353">
        <f>F35+F29+F34+F30+F32+F33</f>
        <v>4597369.93</v>
      </c>
      <c r="G36" s="353">
        <f>D36+E36+F36</f>
        <v>10826815.84</v>
      </c>
      <c r="H36" s="353">
        <f>H35+H29+H34+H30+H32</f>
        <v>5369353</v>
      </c>
      <c r="I36" s="353">
        <f>I35+I29+I34+I30+I33+I32</f>
        <v>3950170.3</v>
      </c>
      <c r="J36" s="353">
        <f>J35+J29+J34+J30+J32+J33</f>
        <v>5912933.07</v>
      </c>
      <c r="K36" s="353">
        <f>H36+I36+J36</f>
        <v>15232456.370000001</v>
      </c>
      <c r="L36" s="353">
        <f>L35+L29+L34+L30+L33+L32</f>
        <v>4557590.39</v>
      </c>
      <c r="M36" s="353">
        <f>M35+M29+M34+M30+M33+M32</f>
        <v>2664413.42</v>
      </c>
      <c r="N36" s="353">
        <f>N35+N29+N34+N30+N33+N32</f>
        <v>3232337.6399999997</v>
      </c>
      <c r="O36" s="353">
        <f>L36+M36+N36</f>
        <v>10454341.45</v>
      </c>
      <c r="P36" s="353">
        <f>P35+P29+P34+P30</f>
        <v>0</v>
      </c>
      <c r="Q36" s="353">
        <f>Q35+Q29+Q34+Q30+Q33</f>
        <v>0</v>
      </c>
      <c r="R36" s="353">
        <f>R35+R29+R34+R30+R33</f>
        <v>0</v>
      </c>
      <c r="S36" s="353">
        <f>P36+Q36+R36</f>
        <v>0</v>
      </c>
      <c r="T36" s="371">
        <f>S36+O36+K36+G36</f>
        <v>36513613.66</v>
      </c>
      <c r="U36" s="473">
        <f>'свод '!F160</f>
        <v>55680218</v>
      </c>
      <c r="V36" s="338">
        <f>U36-T36</f>
        <v>19166604.340000004</v>
      </c>
      <c r="W36" s="11" t="s">
        <v>335</v>
      </c>
    </row>
    <row r="38" ht="15">
      <c r="K38" s="273">
        <v>15232456.37</v>
      </c>
    </row>
    <row r="39" spans="7:23" ht="15">
      <c r="G39" s="329">
        <f>G36-G38</f>
        <v>10826815.84</v>
      </c>
      <c r="K39" s="329">
        <f>K36-K38</f>
        <v>0</v>
      </c>
      <c r="O39" s="329">
        <f>O36-O38</f>
        <v>10454341.45</v>
      </c>
      <c r="S39" s="329">
        <f>S36-S38</f>
        <v>0</v>
      </c>
      <c r="U39" s="273">
        <v>55680218</v>
      </c>
      <c r="V39" s="273">
        <v>19166604.34</v>
      </c>
      <c r="W39" s="484">
        <f>V36-V39</f>
        <v>0</v>
      </c>
    </row>
    <row r="40" spans="4:22" ht="15"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U40" s="474" t="b">
        <f>U39=U36</f>
        <v>1</v>
      </c>
      <c r="V40" s="474" t="b">
        <f>V39=V36</f>
        <v>1</v>
      </c>
    </row>
    <row r="41" ht="15">
      <c r="C41" s="344"/>
    </row>
    <row r="42" spans="2:10" ht="15">
      <c r="B42" s="344" t="s">
        <v>120</v>
      </c>
      <c r="I42" s="591"/>
      <c r="J42" s="591"/>
    </row>
    <row r="44" spans="2:10" ht="15">
      <c r="B44" s="273" t="s">
        <v>105</v>
      </c>
      <c r="I44" s="591"/>
      <c r="J44" s="591"/>
    </row>
  </sheetData>
  <sheetProtection/>
  <mergeCells count="7">
    <mergeCell ref="I44:J44"/>
    <mergeCell ref="B1:T1"/>
    <mergeCell ref="C2:C3"/>
    <mergeCell ref="D2:S2"/>
    <mergeCell ref="A4:A12"/>
    <mergeCell ref="A19:A26"/>
    <mergeCell ref="I42:J42"/>
  </mergeCells>
  <printOptions/>
  <pageMargins left="0.7" right="0.7" top="0.75" bottom="0.75" header="0.3" footer="0.3"/>
  <pageSetup horizontalDpi="600" verticalDpi="600" orientation="landscape" paperSize="9" scale="43" r:id="rId1"/>
  <colBreaks count="1" manualBreakCount="1">
    <brk id="2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zoomScaleSheetLayoutView="100" zoomScalePageLayoutView="0" workbookViewId="0" topLeftCell="A1">
      <selection activeCell="G137" sqref="G137"/>
    </sheetView>
  </sheetViews>
  <sheetFormatPr defaultColWidth="9.00390625" defaultRowHeight="12.75"/>
  <cols>
    <col min="1" max="1" width="9.125" style="444" customWidth="1"/>
    <col min="2" max="2" width="52.25390625" style="444" customWidth="1"/>
    <col min="3" max="3" width="15.875" style="444" customWidth="1"/>
    <col min="4" max="4" width="18.25390625" style="444" customWidth="1"/>
    <col min="5" max="7" width="16.25390625" style="444" customWidth="1"/>
    <col min="8" max="8" width="15.00390625" style="0" customWidth="1"/>
    <col min="9" max="9" width="15.875" style="0" customWidth="1"/>
  </cols>
  <sheetData>
    <row r="1" ht="12.75">
      <c r="G1" s="445" t="s">
        <v>286</v>
      </c>
    </row>
    <row r="2" ht="12.75">
      <c r="G2" s="445" t="s">
        <v>149</v>
      </c>
    </row>
    <row r="3" ht="12.75">
      <c r="G3" s="445" t="s">
        <v>150</v>
      </c>
    </row>
    <row r="4" ht="12.75">
      <c r="G4" s="445" t="s">
        <v>151</v>
      </c>
    </row>
    <row r="5" ht="12.75">
      <c r="G5" s="445" t="s">
        <v>152</v>
      </c>
    </row>
    <row r="6" ht="12.75">
      <c r="G6" s="445" t="s">
        <v>153</v>
      </c>
    </row>
    <row r="7" ht="12.75">
      <c r="G7" s="445" t="s">
        <v>154</v>
      </c>
    </row>
    <row r="8" ht="12.75">
      <c r="G8" s="445" t="s">
        <v>155</v>
      </c>
    </row>
    <row r="9" ht="12.75">
      <c r="G9" s="445" t="s">
        <v>156</v>
      </c>
    </row>
    <row r="10" ht="12.75">
      <c r="G10" s="445" t="s">
        <v>157</v>
      </c>
    </row>
    <row r="11" spans="1:7" ht="15.75">
      <c r="A11" s="226"/>
      <c r="B11" s="227"/>
      <c r="C11" s="228" t="s">
        <v>287</v>
      </c>
      <c r="D11" s="227"/>
      <c r="E11" s="227"/>
      <c r="F11" s="227"/>
      <c r="G11" s="227"/>
    </row>
    <row r="12" spans="1:7" ht="15.75">
      <c r="A12" s="226"/>
      <c r="B12" s="227"/>
      <c r="C12" s="228" t="s">
        <v>288</v>
      </c>
      <c r="D12" s="227"/>
      <c r="E12" s="227"/>
      <c r="F12" s="227"/>
      <c r="G12" s="227"/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5.75">
      <c r="A15" s="230"/>
      <c r="B15" s="230"/>
      <c r="C15" s="230"/>
      <c r="D15" s="230"/>
      <c r="E15" s="230"/>
      <c r="F15" s="230"/>
      <c r="G15" s="230"/>
    </row>
    <row r="16" spans="1:7" ht="15.75">
      <c r="A16" s="226"/>
      <c r="B16" s="227"/>
      <c r="C16" s="228" t="s">
        <v>469</v>
      </c>
      <c r="D16" s="227"/>
      <c r="E16" s="227"/>
      <c r="F16" s="227"/>
      <c r="G16" s="227"/>
    </row>
    <row r="17" spans="1:7" ht="15.75">
      <c r="A17" s="226"/>
      <c r="B17" s="227"/>
      <c r="C17" s="228"/>
      <c r="D17" s="227"/>
      <c r="E17" s="227"/>
      <c r="F17" s="227"/>
      <c r="G17" s="227"/>
    </row>
    <row r="18" spans="1:7" ht="30.75" customHeight="1">
      <c r="A18" s="231" t="s">
        <v>290</v>
      </c>
      <c r="B18" s="232"/>
      <c r="C18" s="679" t="s">
        <v>429</v>
      </c>
      <c r="D18" s="679"/>
      <c r="E18" s="679"/>
      <c r="F18" s="679"/>
      <c r="G18" s="679"/>
    </row>
    <row r="19" spans="1:7" ht="12.75">
      <c r="A19" s="226"/>
      <c r="B19" s="234"/>
      <c r="C19" s="226"/>
      <c r="D19" s="226"/>
      <c r="E19" s="226"/>
      <c r="F19" s="226"/>
      <c r="G19" s="226"/>
    </row>
    <row r="20" spans="1:7" ht="12.75">
      <c r="A20" s="226"/>
      <c r="B20" s="234"/>
      <c r="C20" s="226"/>
      <c r="D20" s="226"/>
      <c r="E20" s="226"/>
      <c r="F20" s="226"/>
      <c r="G20" s="226"/>
    </row>
    <row r="21" spans="1:7" ht="15">
      <c r="A21" s="235" t="s">
        <v>291</v>
      </c>
      <c r="B21" s="235"/>
      <c r="C21" s="235"/>
      <c r="D21" s="235"/>
      <c r="E21" s="235"/>
      <c r="F21" s="235"/>
      <c r="G21" s="235"/>
    </row>
    <row r="22" spans="1:7" ht="15">
      <c r="A22" s="235" t="s">
        <v>292</v>
      </c>
      <c r="B22" s="235"/>
      <c r="C22" s="235"/>
      <c r="D22" s="235"/>
      <c r="E22" s="235"/>
      <c r="F22" s="235"/>
      <c r="G22" s="235"/>
    </row>
    <row r="24" spans="1:7" ht="38.25">
      <c r="A24" s="641" t="s">
        <v>293</v>
      </c>
      <c r="B24" s="642"/>
      <c r="C24" s="239" t="s">
        <v>25</v>
      </c>
      <c r="D24" s="239" t="s">
        <v>294</v>
      </c>
      <c r="E24" s="680" t="s">
        <v>295</v>
      </c>
      <c r="F24" s="680"/>
      <c r="G24" s="680"/>
    </row>
    <row r="25" spans="1:7" ht="12.75">
      <c r="A25"/>
      <c r="B25"/>
      <c r="C25"/>
      <c r="D25"/>
      <c r="E25"/>
      <c r="F25"/>
      <c r="G25"/>
    </row>
    <row r="26" spans="1:7" ht="12.75">
      <c r="A26" s="646" t="s">
        <v>297</v>
      </c>
      <c r="B26" s="647"/>
      <c r="C26" s="241" t="s">
        <v>174</v>
      </c>
      <c r="D26" s="446">
        <f>ROUND(((E27+E28+E29+F27+F28+F29+G27+G28+G29)/9),0)</f>
        <v>902</v>
      </c>
      <c r="E26" s="447">
        <v>903</v>
      </c>
      <c r="F26" s="447">
        <f>E29</f>
        <v>903</v>
      </c>
      <c r="G26" s="447">
        <v>899</v>
      </c>
    </row>
    <row r="27" spans="1:7" ht="12.75">
      <c r="A27" s="646" t="s">
        <v>298</v>
      </c>
      <c r="B27" s="647"/>
      <c r="C27" s="241" t="s">
        <v>174</v>
      </c>
      <c r="D27" s="447">
        <f>D26</f>
        <v>902</v>
      </c>
      <c r="E27" s="447">
        <f aca="true" t="shared" si="0" ref="E27:F29">E26</f>
        <v>903</v>
      </c>
      <c r="F27" s="447">
        <f t="shared" si="0"/>
        <v>903</v>
      </c>
      <c r="G27" s="447">
        <f>G26</f>
        <v>899</v>
      </c>
    </row>
    <row r="28" spans="1:7" ht="12.75">
      <c r="A28" s="646" t="s">
        <v>299</v>
      </c>
      <c r="B28" s="647"/>
      <c r="C28" s="241" t="s">
        <v>174</v>
      </c>
      <c r="D28" s="447">
        <f>D27</f>
        <v>902</v>
      </c>
      <c r="E28" s="447">
        <f t="shared" si="0"/>
        <v>903</v>
      </c>
      <c r="F28" s="447">
        <f t="shared" si="0"/>
        <v>903</v>
      </c>
      <c r="G28" s="447">
        <f>G27</f>
        <v>899</v>
      </c>
    </row>
    <row r="29" spans="1:7" ht="12.75">
      <c r="A29" s="646" t="s">
        <v>300</v>
      </c>
      <c r="B29" s="647"/>
      <c r="C29" s="241" t="s">
        <v>174</v>
      </c>
      <c r="D29" s="447">
        <f>D28</f>
        <v>902</v>
      </c>
      <c r="E29" s="447">
        <f t="shared" si="0"/>
        <v>903</v>
      </c>
      <c r="F29" s="447">
        <f t="shared" si="0"/>
        <v>903</v>
      </c>
      <c r="G29" s="447">
        <f>G28</f>
        <v>899</v>
      </c>
    </row>
    <row r="30" spans="1:7" ht="12.75">
      <c r="A30"/>
      <c r="B30"/>
      <c r="C30"/>
      <c r="D30"/>
      <c r="E30"/>
      <c r="F30"/>
      <c r="G30"/>
    </row>
    <row r="31" spans="1:7" ht="12.75">
      <c r="A31" s="646" t="s">
        <v>302</v>
      </c>
      <c r="B31" s="647"/>
      <c r="C31" s="241" t="s">
        <v>174</v>
      </c>
      <c r="D31" s="447">
        <f>D29</f>
        <v>902</v>
      </c>
      <c r="E31" s="447">
        <f>E32</f>
        <v>903</v>
      </c>
      <c r="F31" s="447">
        <f>F32</f>
        <v>903</v>
      </c>
      <c r="G31" s="447">
        <f>G32</f>
        <v>899</v>
      </c>
    </row>
    <row r="32" spans="1:7" ht="12.75">
      <c r="A32" s="646" t="s">
        <v>298</v>
      </c>
      <c r="B32" s="647"/>
      <c r="C32" s="241" t="s">
        <v>174</v>
      </c>
      <c r="D32" s="447">
        <f>D31</f>
        <v>902</v>
      </c>
      <c r="E32" s="447">
        <f>E27</f>
        <v>903</v>
      </c>
      <c r="F32" s="447">
        <f>F27</f>
        <v>903</v>
      </c>
      <c r="G32" s="447">
        <f>G27</f>
        <v>899</v>
      </c>
    </row>
    <row r="33" spans="1:7" ht="12.75">
      <c r="A33" s="646" t="s">
        <v>299</v>
      </c>
      <c r="B33" s="647"/>
      <c r="C33" s="241" t="s">
        <v>174</v>
      </c>
      <c r="D33" s="447">
        <f>D32</f>
        <v>902</v>
      </c>
      <c r="E33" s="447">
        <f aca="true" t="shared" si="1" ref="E33:G34">E28</f>
        <v>903</v>
      </c>
      <c r="F33" s="447">
        <f t="shared" si="1"/>
        <v>903</v>
      </c>
      <c r="G33" s="447">
        <f t="shared" si="1"/>
        <v>899</v>
      </c>
    </row>
    <row r="34" spans="1:7" ht="12.75">
      <c r="A34" s="646" t="s">
        <v>300</v>
      </c>
      <c r="B34" s="647"/>
      <c r="C34" s="241" t="s">
        <v>174</v>
      </c>
      <c r="D34" s="447">
        <f>D33</f>
        <v>902</v>
      </c>
      <c r="E34" s="447">
        <f t="shared" si="1"/>
        <v>903</v>
      </c>
      <c r="F34" s="447">
        <f t="shared" si="1"/>
        <v>903</v>
      </c>
      <c r="G34" s="447">
        <f t="shared" si="1"/>
        <v>899</v>
      </c>
    </row>
    <row r="38" spans="1:7" ht="15">
      <c r="A38" s="235" t="s">
        <v>303</v>
      </c>
      <c r="B38" s="235"/>
      <c r="C38" s="235"/>
      <c r="D38" s="235"/>
      <c r="E38" s="235"/>
      <c r="F38" s="235"/>
      <c r="G38" s="235"/>
    </row>
    <row r="40" spans="1:7" ht="12.75">
      <c r="A40" s="641" t="s">
        <v>293</v>
      </c>
      <c r="B40" s="642"/>
      <c r="C40" s="641" t="s">
        <v>304</v>
      </c>
      <c r="D40" s="642"/>
      <c r="E40" s="680" t="s">
        <v>305</v>
      </c>
      <c r="F40" s="680"/>
      <c r="G40" s="680"/>
    </row>
    <row r="41" spans="1:7" ht="12.75">
      <c r="A41" s="681" t="s">
        <v>296</v>
      </c>
      <c r="B41" s="681"/>
      <c r="C41" s="681"/>
      <c r="D41" s="681"/>
      <c r="E41" s="681"/>
      <c r="F41" s="681"/>
      <c r="G41" s="681"/>
    </row>
    <row r="42" spans="1:9" ht="54" customHeight="1">
      <c r="A42" s="649" t="s">
        <v>306</v>
      </c>
      <c r="B42" s="650"/>
      <c r="C42" s="651">
        <f>C43+C48</f>
        <v>39999.07052000001</v>
      </c>
      <c r="D42" s="652"/>
      <c r="E42" s="283">
        <f>E43+E48</f>
        <v>3503.4602899999995</v>
      </c>
      <c r="F42" s="283">
        <f>F43+F48</f>
        <v>3312.1629999999996</v>
      </c>
      <c r="G42" s="283">
        <f>G43+G48</f>
        <v>4448.18756</v>
      </c>
      <c r="H42">
        <v>36513.61366</v>
      </c>
      <c r="I42" s="475">
        <f>C42-H42</f>
        <v>3485.4568600000057</v>
      </c>
    </row>
    <row r="43" spans="1:9" ht="50.25" customHeight="1">
      <c r="A43" s="653" t="s">
        <v>307</v>
      </c>
      <c r="B43" s="654"/>
      <c r="C43" s="655">
        <f>SUM(C44:D47)</f>
        <v>38062.304520000005</v>
      </c>
      <c r="D43" s="656"/>
      <c r="E43" s="441">
        <f>SUM(E44:E47)</f>
        <v>2971.4542899999997</v>
      </c>
      <c r="F43" s="441">
        <f>SUM(F44:F47)</f>
        <v>3202.1629999999996</v>
      </c>
      <c r="G43" s="441">
        <f>SUM(G44:G47)</f>
        <v>4448.18756</v>
      </c>
      <c r="H43">
        <v>34576.84766</v>
      </c>
      <c r="I43" s="475">
        <f aca="true" t="shared" si="2" ref="I43:I60">C43-H43</f>
        <v>3485.4568600000057</v>
      </c>
    </row>
    <row r="44" spans="1:9" ht="25.5" customHeight="1">
      <c r="A44" s="646" t="s">
        <v>430</v>
      </c>
      <c r="B44" s="647"/>
      <c r="C44" s="657">
        <f>13373.24465+SUM(E44:G44)</f>
        <v>18520.99345</v>
      </c>
      <c r="D44" s="658"/>
      <c r="E44" s="246">
        <f>'мун.задание'!J112/1000</f>
        <v>1573.3282</v>
      </c>
      <c r="F44" s="246">
        <f>'мун.задание'!K112/1000</f>
        <v>1573.3292</v>
      </c>
      <c r="G44" s="246">
        <f>'мун.задание'!L112/1000</f>
        <v>2001.0913999999998</v>
      </c>
      <c r="H44">
        <v>17763.536669512</v>
      </c>
      <c r="I44" s="475">
        <f t="shared" si="2"/>
        <v>757.4567804880026</v>
      </c>
    </row>
    <row r="45" spans="1:9" ht="24.75" customHeight="1">
      <c r="A45" s="646" t="s">
        <v>458</v>
      </c>
      <c r="B45" s="647"/>
      <c r="C45" s="657">
        <f>1431.331+SUM(E45:G45)</f>
        <v>2240.416</v>
      </c>
      <c r="D45" s="658"/>
      <c r="E45" s="246">
        <f>'мун.задание'!J108/1000</f>
        <v>269.695</v>
      </c>
      <c r="F45" s="246">
        <f>'мун.задание'!K108/1000</f>
        <v>269.695</v>
      </c>
      <c r="G45" s="246">
        <f>'мун.задание'!L108/1000</f>
        <v>269.695</v>
      </c>
      <c r="H45">
        <v>2240.4159999999997</v>
      </c>
      <c r="I45" s="475">
        <f t="shared" si="2"/>
        <v>0</v>
      </c>
    </row>
    <row r="46" spans="1:9" ht="24.75" customHeight="1">
      <c r="A46" s="646" t="s">
        <v>431</v>
      </c>
      <c r="B46" s="647"/>
      <c r="C46" s="657">
        <f>9834.08835+SUM(E46:G46)</f>
        <v>13336.33355</v>
      </c>
      <c r="D46" s="658"/>
      <c r="E46" s="246">
        <f>'мун.задание'!J114/1000</f>
        <v>811.4558000000001</v>
      </c>
      <c r="F46" s="246">
        <f>'мун.задание'!K114/1000</f>
        <v>1152.1388</v>
      </c>
      <c r="G46" s="246">
        <f>'мун.задание'!L114/1000</f>
        <v>1538.6506000000002</v>
      </c>
      <c r="H46">
        <v>11612.766390488001</v>
      </c>
      <c r="I46" s="475">
        <f t="shared" si="2"/>
        <v>1723.5671595119984</v>
      </c>
    </row>
    <row r="47" spans="1:9" ht="12.75" customHeight="1">
      <c r="A47" s="646" t="s">
        <v>432</v>
      </c>
      <c r="B47" s="647"/>
      <c r="C47" s="657">
        <f>2801.83567+SUM(E47:G47)</f>
        <v>3964.56152</v>
      </c>
      <c r="D47" s="658"/>
      <c r="E47" s="246">
        <f>'мун.задание'!J110/1000</f>
        <v>316.97529000000003</v>
      </c>
      <c r="F47" s="246">
        <f>'мун.задание'!K110/1000</f>
        <v>207</v>
      </c>
      <c r="G47" s="246">
        <f>+'мун.задание'!L110/1000</f>
        <v>638.7505600000001</v>
      </c>
      <c r="H47">
        <v>2960.1286</v>
      </c>
      <c r="I47" s="475">
        <f t="shared" si="2"/>
        <v>1004.4329200000002</v>
      </c>
    </row>
    <row r="48" spans="1:9" ht="49.5" customHeight="1">
      <c r="A48" s="653" t="s">
        <v>309</v>
      </c>
      <c r="B48" s="654"/>
      <c r="C48" s="655">
        <f>C49</f>
        <v>1936.766</v>
      </c>
      <c r="D48" s="656"/>
      <c r="E48" s="441">
        <f>E49</f>
        <v>532.006</v>
      </c>
      <c r="F48" s="441">
        <f>F49</f>
        <v>110</v>
      </c>
      <c r="G48" s="441">
        <f>G49</f>
        <v>0</v>
      </c>
      <c r="H48">
        <v>1936.766</v>
      </c>
      <c r="I48" s="475">
        <f t="shared" si="2"/>
        <v>0</v>
      </c>
    </row>
    <row r="49" spans="1:9" ht="12.75">
      <c r="A49" s="646" t="s">
        <v>300</v>
      </c>
      <c r="B49" s="647"/>
      <c r="C49" s="657">
        <f>1294.76+SUM(E49:G49)</f>
        <v>1936.766</v>
      </c>
      <c r="D49" s="658"/>
      <c r="E49" s="246">
        <f>'мун.задание'!J128/1000</f>
        <v>532.006</v>
      </c>
      <c r="F49" s="246">
        <f>'мун.задание'!K128/1000</f>
        <v>110</v>
      </c>
      <c r="G49" s="246">
        <f>'мун.задание'!L128/1000</f>
        <v>0</v>
      </c>
      <c r="H49">
        <v>1936.766</v>
      </c>
      <c r="I49" s="475">
        <f t="shared" si="2"/>
        <v>0</v>
      </c>
    </row>
    <row r="50" spans="1:9" ht="51.75" customHeight="1">
      <c r="A50" s="653" t="s">
        <v>310</v>
      </c>
      <c r="B50" s="654"/>
      <c r="C50" s="659">
        <f>SUM(C51:D60)</f>
        <v>1946.3623699999998</v>
      </c>
      <c r="D50" s="660"/>
      <c r="E50" s="440">
        <f>SUM(E52:E59)</f>
        <v>320.30878</v>
      </c>
      <c r="F50" s="440">
        <f>SUM(F52:F59)</f>
        <v>309.32854</v>
      </c>
      <c r="G50" s="440">
        <f>SUM(E52:E59)</f>
        <v>320.30878</v>
      </c>
      <c r="H50">
        <v>1649.5773299999998</v>
      </c>
      <c r="I50" s="475">
        <f t="shared" si="2"/>
        <v>296.78504</v>
      </c>
    </row>
    <row r="51" spans="1:9" ht="42" customHeight="1">
      <c r="A51" s="646" t="s">
        <v>461</v>
      </c>
      <c r="B51" s="647"/>
      <c r="C51" s="476"/>
      <c r="D51" s="477">
        <f>E51+F51+G51</f>
        <v>0</v>
      </c>
      <c r="E51" s="477">
        <f>'мун.задание'!J140/1000</f>
        <v>0</v>
      </c>
      <c r="F51" s="477">
        <f>'мун.задание'!K140/1000</f>
        <v>0</v>
      </c>
      <c r="G51" s="477">
        <f>'мун.задание'!L140/1000</f>
        <v>0</v>
      </c>
      <c r="I51" s="475">
        <f t="shared" si="2"/>
        <v>0</v>
      </c>
    </row>
    <row r="52" spans="1:9" ht="25.5" customHeight="1">
      <c r="A52" s="646" t="s">
        <v>424</v>
      </c>
      <c r="B52" s="647"/>
      <c r="C52" s="657">
        <f>SUM(E52:G52)</f>
        <v>0</v>
      </c>
      <c r="D52" s="658"/>
      <c r="E52" s="246">
        <f>'мун.задание'!J141/1000</f>
        <v>0</v>
      </c>
      <c r="F52" s="246">
        <f>'мун.задание'!K141/1000</f>
        <v>0</v>
      </c>
      <c r="G52" s="246">
        <f>'мун.задание'!L141/1000</f>
        <v>0</v>
      </c>
      <c r="H52">
        <v>0</v>
      </c>
      <c r="I52" s="475">
        <f t="shared" si="2"/>
        <v>0</v>
      </c>
    </row>
    <row r="53" spans="1:9" ht="25.5" customHeight="1">
      <c r="A53" s="646" t="s">
        <v>425</v>
      </c>
      <c r="B53" s="647"/>
      <c r="C53" s="657">
        <f>SUM(E53:G53)+289.994</f>
        <v>1215.667</v>
      </c>
      <c r="D53" s="658"/>
      <c r="E53" s="246">
        <f>'мун.задание'!J142/1000</f>
        <v>308.558</v>
      </c>
      <c r="F53" s="246">
        <f>'мун.задание'!K142/1000</f>
        <v>308.558</v>
      </c>
      <c r="G53" s="246">
        <f>'мун.задание'!L142/1000</f>
        <v>308.557</v>
      </c>
      <c r="H53">
        <v>918.88196</v>
      </c>
      <c r="I53" s="475">
        <f t="shared" si="2"/>
        <v>296.78503999999987</v>
      </c>
    </row>
    <row r="54" spans="1:9" ht="38.25" customHeight="1">
      <c r="A54" s="646" t="s">
        <v>426</v>
      </c>
      <c r="B54" s="647"/>
      <c r="C54" s="657">
        <f aca="true" t="shared" si="3" ref="C54:C59">SUM(E54:G54)</f>
        <v>0</v>
      </c>
      <c r="D54" s="658"/>
      <c r="E54" s="246">
        <v>0</v>
      </c>
      <c r="F54" s="246">
        <v>0</v>
      </c>
      <c r="G54" s="246">
        <v>0</v>
      </c>
      <c r="H54">
        <v>0</v>
      </c>
      <c r="I54" s="475">
        <f t="shared" si="2"/>
        <v>0</v>
      </c>
    </row>
    <row r="55" spans="1:9" ht="24.75" customHeight="1">
      <c r="A55" s="646" t="s">
        <v>456</v>
      </c>
      <c r="B55" s="647"/>
      <c r="C55" s="657">
        <f t="shared" si="3"/>
        <v>0</v>
      </c>
      <c r="D55" s="658"/>
      <c r="E55" s="246">
        <v>0</v>
      </c>
      <c r="F55" s="246">
        <v>0</v>
      </c>
      <c r="G55" s="246">
        <v>0</v>
      </c>
      <c r="H55">
        <v>0</v>
      </c>
      <c r="I55" s="475">
        <f t="shared" si="2"/>
        <v>0</v>
      </c>
    </row>
    <row r="56" spans="1:9" ht="39" customHeight="1">
      <c r="A56" s="646" t="s">
        <v>457</v>
      </c>
      <c r="B56" s="647"/>
      <c r="C56" s="657">
        <f>SUM(E56:G56)+61.30879</f>
        <v>73.83011</v>
      </c>
      <c r="D56" s="658"/>
      <c r="E56" s="246">
        <f>'мун.задание'!J150/1000</f>
        <v>11.75078</v>
      </c>
      <c r="F56" s="246">
        <f>'мун.задание'!K150/1000</f>
        <v>0.77054</v>
      </c>
      <c r="G56" s="246">
        <f>'мун.задание'!L150/1000</f>
        <v>0</v>
      </c>
      <c r="H56">
        <v>73.83011</v>
      </c>
      <c r="I56" s="475">
        <f t="shared" si="2"/>
        <v>0</v>
      </c>
    </row>
    <row r="57" spans="1:9" ht="26.25" customHeight="1">
      <c r="A57" s="646" t="s">
        <v>435</v>
      </c>
      <c r="B57" s="647"/>
      <c r="C57" s="657">
        <f>SUM(E57:G57)+399.8</f>
        <v>399.8</v>
      </c>
      <c r="D57" s="658"/>
      <c r="E57" s="246">
        <f>'мун.задание'!J151/1000</f>
        <v>0</v>
      </c>
      <c r="F57" s="246">
        <f>'мун.задание'!K151/1000</f>
        <v>0</v>
      </c>
      <c r="G57" s="246">
        <f>'мун.задание'!L151/1000</f>
        <v>0</v>
      </c>
      <c r="H57">
        <v>399.8</v>
      </c>
      <c r="I57" s="475">
        <f t="shared" si="2"/>
        <v>0</v>
      </c>
    </row>
    <row r="58" spans="1:9" ht="76.5" customHeight="1">
      <c r="A58" s="646" t="s">
        <v>433</v>
      </c>
      <c r="B58" s="647"/>
      <c r="C58" s="657">
        <f>SUM(E58:G58)+223.37826</f>
        <v>223.37826</v>
      </c>
      <c r="D58" s="658"/>
      <c r="E58" s="246">
        <f>'мун.задание'!J152/1000</f>
        <v>0</v>
      </c>
      <c r="F58" s="246">
        <f>'мун.задание'!K152/1000</f>
        <v>0</v>
      </c>
      <c r="G58" s="246">
        <f>'мун.задание'!L152/1000</f>
        <v>0</v>
      </c>
      <c r="H58">
        <v>223.37826</v>
      </c>
      <c r="I58" s="475">
        <f t="shared" si="2"/>
        <v>0</v>
      </c>
    </row>
    <row r="59" spans="1:9" ht="63.75" customHeight="1">
      <c r="A59" s="646" t="s">
        <v>434</v>
      </c>
      <c r="B59" s="647"/>
      <c r="C59" s="657">
        <f t="shared" si="3"/>
        <v>0</v>
      </c>
      <c r="D59" s="658"/>
      <c r="E59" s="246">
        <v>0</v>
      </c>
      <c r="F59" s="246">
        <v>0</v>
      </c>
      <c r="G59" s="246">
        <v>0</v>
      </c>
      <c r="H59">
        <v>0</v>
      </c>
      <c r="I59" s="475">
        <f t="shared" si="2"/>
        <v>0</v>
      </c>
    </row>
    <row r="60" spans="1:9" ht="15" customHeight="1">
      <c r="A60" s="678" t="s">
        <v>460</v>
      </c>
      <c r="B60" s="678"/>
      <c r="C60" s="682">
        <f>E60+F60+G60</f>
        <v>33.687</v>
      </c>
      <c r="D60" s="683"/>
      <c r="E60" s="485">
        <f>'мун.задание'!J154/1000</f>
        <v>33.687</v>
      </c>
      <c r="F60" s="485">
        <f>'мун.задание'!K154/1000</f>
        <v>0</v>
      </c>
      <c r="G60" s="485">
        <f>'мун.задание'!L154/1000</f>
        <v>0</v>
      </c>
      <c r="H60">
        <v>33.687</v>
      </c>
      <c r="I60" s="475">
        <f t="shared" si="2"/>
        <v>0</v>
      </c>
    </row>
    <row r="61" spans="1:7" ht="12.75">
      <c r="A61" s="681" t="s">
        <v>301</v>
      </c>
      <c r="B61" s="681"/>
      <c r="C61" s="681"/>
      <c r="D61" s="681"/>
      <c r="E61" s="681"/>
      <c r="F61" s="681"/>
      <c r="G61" s="681"/>
    </row>
    <row r="62" spans="1:7" ht="55.5" customHeight="1">
      <c r="A62" s="649" t="s">
        <v>306</v>
      </c>
      <c r="B62" s="650"/>
      <c r="C62" s="651">
        <f>C63+C68</f>
        <v>36513.61366</v>
      </c>
      <c r="D62" s="652"/>
      <c r="E62" s="283">
        <f>E63+E68</f>
        <v>4557.59039</v>
      </c>
      <c r="F62" s="283">
        <f>F63+F68</f>
        <v>2664.41342</v>
      </c>
      <c r="G62" s="283">
        <f>G63+G68</f>
        <v>3232.3376399999997</v>
      </c>
    </row>
    <row r="63" spans="1:7" ht="51.75" customHeight="1">
      <c r="A63" s="653" t="s">
        <v>307</v>
      </c>
      <c r="B63" s="654"/>
      <c r="C63" s="655">
        <f>SUM(C64:D67)</f>
        <v>34576.84766</v>
      </c>
      <c r="D63" s="656"/>
      <c r="E63" s="441">
        <f>SUM(E64:E67)</f>
        <v>4025.58439</v>
      </c>
      <c r="F63" s="441">
        <f>SUM(F64:F67)</f>
        <v>2554.41342</v>
      </c>
      <c r="G63" s="441">
        <f>SUM(G64:G67)</f>
        <v>3232.3376399999997</v>
      </c>
    </row>
    <row r="64" spans="1:7" ht="25.5" customHeight="1">
      <c r="A64" s="646" t="s">
        <v>430</v>
      </c>
      <c r="B64" s="647"/>
      <c r="C64" s="657">
        <f>12516.53507+SUM(E64:P64)</f>
        <v>17763.536669512</v>
      </c>
      <c r="D64" s="658"/>
      <c r="E64" s="246">
        <f>'касса 2'!L29/1000</f>
        <v>2185.6874507999996</v>
      </c>
      <c r="F64" s="246">
        <f>'касса 2'!M29/1000</f>
        <v>1323.4199832</v>
      </c>
      <c r="G64" s="246">
        <f>'касса 2'!N29/1000</f>
        <v>1737.8941655119997</v>
      </c>
    </row>
    <row r="65" spans="1:7" ht="25.5" customHeight="1">
      <c r="A65" s="646" t="s">
        <v>458</v>
      </c>
      <c r="B65" s="647"/>
      <c r="C65" s="657">
        <f>1431.331+SUM(E65:P65)</f>
        <v>2240.4159999999997</v>
      </c>
      <c r="D65" s="658"/>
      <c r="E65" s="246">
        <f>('касса 2'!L32+'касса 2'!L33)/1000</f>
        <v>405.02339</v>
      </c>
      <c r="F65" s="246">
        <f>('касса 2'!M32+'касса 2'!M33)/1000</f>
        <v>180.437</v>
      </c>
      <c r="G65" s="246">
        <f>('касса 2'!N32+'касса 2'!N33)/1000</f>
        <v>223.62461</v>
      </c>
    </row>
    <row r="66" spans="1:7" ht="25.5" customHeight="1">
      <c r="A66" s="646" t="s">
        <v>431</v>
      </c>
      <c r="B66" s="647"/>
      <c r="C66" s="682">
        <f>8291.08899+SUM(E66:G66)</f>
        <v>11612.766390488001</v>
      </c>
      <c r="D66" s="683"/>
      <c r="E66" s="246">
        <f>('касса 2'!L30)/1000</f>
        <v>1399.4495492000003</v>
      </c>
      <c r="F66" s="246">
        <f>('касса 2'!M30)/1000</f>
        <v>811.4790168000001</v>
      </c>
      <c r="G66" s="246">
        <f>('касса 2'!N30)/1000</f>
        <v>1110.748834488</v>
      </c>
    </row>
    <row r="67" spans="1:7" ht="12.75" customHeight="1">
      <c r="A67" s="646" t="s">
        <v>432</v>
      </c>
      <c r="B67" s="647"/>
      <c r="C67" s="657">
        <f>2525.55715+SUM(E67:P67)</f>
        <v>2960.1286</v>
      </c>
      <c r="D67" s="658"/>
      <c r="E67" s="246">
        <f>'касса 2'!L34/1000</f>
        <v>35.424</v>
      </c>
      <c r="F67" s="246">
        <f>'касса 2'!M34/1000</f>
        <v>239.07742000000002</v>
      </c>
      <c r="G67" s="246">
        <f>'касса 2'!N34/1000</f>
        <v>160.07003000000003</v>
      </c>
    </row>
    <row r="68" spans="1:7" ht="51" customHeight="1">
      <c r="A68" s="653" t="s">
        <v>309</v>
      </c>
      <c r="B68" s="654"/>
      <c r="C68" s="655">
        <f>C69</f>
        <v>1936.766</v>
      </c>
      <c r="D68" s="656"/>
      <c r="E68" s="441">
        <f>E69</f>
        <v>532.006</v>
      </c>
      <c r="F68" s="441">
        <f>F69</f>
        <v>110</v>
      </c>
      <c r="G68" s="441">
        <f>G69</f>
        <v>0</v>
      </c>
    </row>
    <row r="69" spans="1:7" ht="12.75" customHeight="1">
      <c r="A69" s="646" t="s">
        <v>300</v>
      </c>
      <c r="B69" s="647"/>
      <c r="C69" s="657">
        <f>1294.76+SUM(E69:P69)</f>
        <v>1936.766</v>
      </c>
      <c r="D69" s="658"/>
      <c r="E69" s="246">
        <f>'касса 2'!L35/1000</f>
        <v>532.006</v>
      </c>
      <c r="F69" s="246">
        <f>'касса 2'!M35/1000</f>
        <v>110</v>
      </c>
      <c r="G69" s="246">
        <f>'касса 2'!N35/1000</f>
        <v>0</v>
      </c>
    </row>
    <row r="70" spans="1:7" ht="51.75" customHeight="1">
      <c r="A70" s="653" t="s">
        <v>310</v>
      </c>
      <c r="B70" s="654"/>
      <c r="C70" s="659">
        <f>SUM(C72:D80)</f>
        <v>1649.5773299999998</v>
      </c>
      <c r="D70" s="660"/>
      <c r="E70" s="440">
        <f>SUM(E72:E80)</f>
        <v>444.32574000000005</v>
      </c>
      <c r="F70" s="486">
        <f>SUM(F72:F80)</f>
        <v>0.77054</v>
      </c>
      <c r="G70" s="486">
        <f>SUM(G72:G80)</f>
        <v>230</v>
      </c>
    </row>
    <row r="71" spans="1:7" ht="51.75" customHeight="1">
      <c r="A71" s="646" t="s">
        <v>461</v>
      </c>
      <c r="B71" s="647"/>
      <c r="C71" s="476"/>
      <c r="D71" s="477">
        <f>E71+0+0</f>
        <v>0</v>
      </c>
      <c r="E71" s="477">
        <v>0</v>
      </c>
      <c r="F71" s="477">
        <v>0</v>
      </c>
      <c r="G71" s="477">
        <v>0</v>
      </c>
    </row>
    <row r="72" spans="1:7" ht="27.75" customHeight="1">
      <c r="A72" s="646" t="s">
        <v>424</v>
      </c>
      <c r="B72" s="647"/>
      <c r="C72" s="657">
        <f>SUM(E72:P72)</f>
        <v>0</v>
      </c>
      <c r="D72" s="658"/>
      <c r="E72" s="246">
        <v>0</v>
      </c>
      <c r="F72" s="246">
        <v>0</v>
      </c>
      <c r="G72" s="246">
        <v>0</v>
      </c>
    </row>
    <row r="73" spans="1:7" ht="13.5" customHeight="1">
      <c r="A73" s="646" t="s">
        <v>425</v>
      </c>
      <c r="B73" s="647"/>
      <c r="C73" s="657">
        <f>289.994+SUM(E73:P73)</f>
        <v>918.88196</v>
      </c>
      <c r="D73" s="658"/>
      <c r="E73" s="246">
        <v>398.88796</v>
      </c>
      <c r="F73" s="246">
        <v>0</v>
      </c>
      <c r="G73" s="246">
        <v>230</v>
      </c>
    </row>
    <row r="74" spans="1:7" ht="38.25" customHeight="1">
      <c r="A74" s="646" t="s">
        <v>426</v>
      </c>
      <c r="B74" s="647"/>
      <c r="C74" s="657">
        <f>SUM(E74:P74)</f>
        <v>0</v>
      </c>
      <c r="D74" s="658"/>
      <c r="E74" s="246">
        <v>0</v>
      </c>
      <c r="F74" s="246">
        <v>0</v>
      </c>
      <c r="G74" s="246">
        <v>0</v>
      </c>
    </row>
    <row r="75" spans="1:7" ht="28.5" customHeight="1">
      <c r="A75" s="646" t="s">
        <v>456</v>
      </c>
      <c r="B75" s="647"/>
      <c r="C75" s="657">
        <f>SUM(E75:P75)</f>
        <v>0</v>
      </c>
      <c r="D75" s="658"/>
      <c r="E75" s="246">
        <v>0</v>
      </c>
      <c r="F75" s="246">
        <v>0</v>
      </c>
      <c r="G75" s="246">
        <v>0</v>
      </c>
    </row>
    <row r="76" spans="1:7" ht="39.75" customHeight="1">
      <c r="A76" s="646" t="s">
        <v>457</v>
      </c>
      <c r="B76" s="647"/>
      <c r="C76" s="657">
        <f>SUM(E76:P76)+61.30879</f>
        <v>73.83011</v>
      </c>
      <c r="D76" s="658"/>
      <c r="E76" s="246">
        <v>11.75078</v>
      </c>
      <c r="F76" s="477">
        <v>0.77054</v>
      </c>
      <c r="G76" s="246">
        <v>0</v>
      </c>
    </row>
    <row r="77" spans="1:7" ht="27" customHeight="1">
      <c r="A77" s="646" t="s">
        <v>435</v>
      </c>
      <c r="B77" s="647"/>
      <c r="C77" s="657">
        <f>SUM(E77:P77)+399.8</f>
        <v>399.8</v>
      </c>
      <c r="D77" s="658"/>
      <c r="E77" s="246">
        <v>0</v>
      </c>
      <c r="F77" s="246">
        <v>0</v>
      </c>
      <c r="G77" s="246">
        <v>0</v>
      </c>
    </row>
    <row r="78" spans="1:7" ht="75" customHeight="1">
      <c r="A78" s="646" t="s">
        <v>433</v>
      </c>
      <c r="B78" s="647"/>
      <c r="C78" s="657">
        <f>SUM(E78:P78)+223.37826</f>
        <v>223.37826</v>
      </c>
      <c r="D78" s="658"/>
      <c r="E78" s="246">
        <v>0</v>
      </c>
      <c r="F78" s="246">
        <v>0</v>
      </c>
      <c r="G78" s="246">
        <v>0</v>
      </c>
    </row>
    <row r="79" spans="1:7" ht="65.25" customHeight="1">
      <c r="A79" s="646" t="s">
        <v>434</v>
      </c>
      <c r="B79" s="647"/>
      <c r="C79" s="657">
        <f>SUM(E79:P79)</f>
        <v>0</v>
      </c>
      <c r="D79" s="658"/>
      <c r="E79" s="246">
        <v>0</v>
      </c>
      <c r="F79" s="246">
        <v>0</v>
      </c>
      <c r="G79" s="246">
        <v>0</v>
      </c>
    </row>
    <row r="80" spans="1:7" ht="12.75">
      <c r="A80" s="678" t="s">
        <v>460</v>
      </c>
      <c r="B80" s="678"/>
      <c r="C80" s="686">
        <f>SUM(E80:P80)</f>
        <v>33.687</v>
      </c>
      <c r="D80" s="687"/>
      <c r="E80" s="490">
        <v>33.687</v>
      </c>
      <c r="F80" s="491">
        <v>0</v>
      </c>
      <c r="G80" s="492">
        <v>0</v>
      </c>
    </row>
    <row r="82" spans="1:7" ht="15">
      <c r="A82" s="235" t="s">
        <v>313</v>
      </c>
      <c r="B82" s="235"/>
      <c r="C82" s="235"/>
      <c r="D82" s="255"/>
      <c r="E82" s="255"/>
      <c r="F82" s="255"/>
      <c r="G82" s="255"/>
    </row>
    <row r="83" spans="1:7" ht="15">
      <c r="A83" s="235"/>
      <c r="B83" s="235"/>
      <c r="C83" s="235"/>
      <c r="D83" s="255"/>
      <c r="E83" s="255"/>
      <c r="F83" s="255"/>
      <c r="G83" s="255"/>
    </row>
    <row r="84" spans="1:7" ht="15">
      <c r="A84" s="235" t="s">
        <v>314</v>
      </c>
      <c r="B84" s="235"/>
      <c r="C84" s="235"/>
      <c r="D84" s="235"/>
      <c r="E84" s="235"/>
      <c r="F84" s="235"/>
      <c r="G84" s="235"/>
    </row>
    <row r="85" spans="1:7" ht="12.75">
      <c r="A85" s="226"/>
      <c r="B85" s="226"/>
      <c r="C85" s="226"/>
      <c r="D85" s="226"/>
      <c r="E85" s="226"/>
      <c r="F85" s="226"/>
      <c r="G85" s="226"/>
    </row>
    <row r="86" spans="1:7" ht="12.75">
      <c r="A86" s="661" t="s">
        <v>315</v>
      </c>
      <c r="B86" s="661" t="s">
        <v>284</v>
      </c>
      <c r="C86" s="662" t="s">
        <v>316</v>
      </c>
      <c r="D86" s="663"/>
      <c r="E86" s="257"/>
      <c r="F86" s="673" t="s">
        <v>317</v>
      </c>
      <c r="G86" s="674"/>
    </row>
    <row r="87" spans="1:7" ht="12.75">
      <c r="A87" s="661"/>
      <c r="B87" s="661"/>
      <c r="C87" s="664"/>
      <c r="D87" s="665"/>
      <c r="E87" s="258"/>
      <c r="F87" s="675"/>
      <c r="G87" s="676"/>
    </row>
    <row r="88" spans="1:7" ht="12.75">
      <c r="A88" s="259"/>
      <c r="B88" s="260"/>
      <c r="C88" s="643"/>
      <c r="D88" s="645"/>
      <c r="E88" s="240" t="s">
        <v>318</v>
      </c>
      <c r="F88" s="671" t="s">
        <v>318</v>
      </c>
      <c r="G88" s="672"/>
    </row>
    <row r="89" spans="1:7" ht="12.75">
      <c r="A89" s="259"/>
      <c r="B89" s="260"/>
      <c r="C89" s="643"/>
      <c r="D89" s="645"/>
      <c r="E89" s="240"/>
      <c r="F89" s="671"/>
      <c r="G89" s="672"/>
    </row>
    <row r="90" spans="1:7" ht="12.75">
      <c r="A90" s="259"/>
      <c r="B90" s="260"/>
      <c r="C90" s="643"/>
      <c r="D90" s="645"/>
      <c r="E90" s="240"/>
      <c r="F90" s="671"/>
      <c r="G90" s="672"/>
    </row>
    <row r="91" ht="15">
      <c r="F91" s="448"/>
    </row>
    <row r="92" ht="15">
      <c r="F92" s="448"/>
    </row>
    <row r="93" spans="1:7" ht="15">
      <c r="A93" s="235" t="s">
        <v>319</v>
      </c>
      <c r="B93" s="235"/>
      <c r="C93" s="235"/>
      <c r="D93" s="235"/>
      <c r="E93" s="235"/>
      <c r="F93" s="256"/>
      <c r="G93" s="235"/>
    </row>
    <row r="94" ht="15">
      <c r="F94" s="448"/>
    </row>
    <row r="95" spans="1:7" ht="12.75">
      <c r="A95" s="661" t="s">
        <v>315</v>
      </c>
      <c r="B95" s="661" t="s">
        <v>284</v>
      </c>
      <c r="C95" s="662" t="s">
        <v>320</v>
      </c>
      <c r="D95" s="663"/>
      <c r="E95" s="257"/>
      <c r="F95" s="673" t="s">
        <v>321</v>
      </c>
      <c r="G95" s="674"/>
    </row>
    <row r="96" spans="1:7" ht="12.75">
      <c r="A96" s="661"/>
      <c r="B96" s="661"/>
      <c r="C96" s="664"/>
      <c r="D96" s="665"/>
      <c r="E96" s="258"/>
      <c r="F96" s="675"/>
      <c r="G96" s="676"/>
    </row>
    <row r="97" spans="1:7" ht="12.75">
      <c r="A97" s="259"/>
      <c r="B97" s="260"/>
      <c r="C97" s="643"/>
      <c r="D97" s="645"/>
      <c r="E97" s="240" t="s">
        <v>318</v>
      </c>
      <c r="F97" s="671" t="s">
        <v>318</v>
      </c>
      <c r="G97" s="672"/>
    </row>
    <row r="98" spans="1:7" ht="12.75">
      <c r="A98" s="259"/>
      <c r="B98" s="260"/>
      <c r="C98" s="643"/>
      <c r="D98" s="645"/>
      <c r="E98" s="240"/>
      <c r="F98" s="671"/>
      <c r="G98" s="672"/>
    </row>
    <row r="99" spans="1:7" ht="12.75">
      <c r="A99" s="259"/>
      <c r="B99" s="260"/>
      <c r="C99" s="643"/>
      <c r="D99" s="645"/>
      <c r="E99" s="240"/>
      <c r="F99" s="671"/>
      <c r="G99" s="672"/>
    </row>
    <row r="100" spans="4:7" ht="12.75">
      <c r="D100" s="449"/>
      <c r="E100" s="449"/>
      <c r="F100" s="449"/>
      <c r="G100" s="449"/>
    </row>
    <row r="102" spans="1:7" ht="15">
      <c r="A102" s="235" t="s">
        <v>322</v>
      </c>
      <c r="B102" s="235"/>
      <c r="C102" s="450"/>
      <c r="D102" s="450"/>
      <c r="E102" s="450"/>
      <c r="F102" s="450"/>
      <c r="G102" s="450"/>
    </row>
    <row r="104" spans="1:7" ht="12.75">
      <c r="A104" s="661" t="s">
        <v>315</v>
      </c>
      <c r="B104" s="661" t="s">
        <v>323</v>
      </c>
      <c r="C104" s="661" t="s">
        <v>233</v>
      </c>
      <c r="D104" s="661" t="s">
        <v>234</v>
      </c>
      <c r="E104" s="666" t="s">
        <v>324</v>
      </c>
      <c r="F104" s="226"/>
      <c r="G104" s="226"/>
    </row>
    <row r="105" spans="1:7" ht="12.75">
      <c r="A105" s="661"/>
      <c r="B105" s="661"/>
      <c r="C105" s="661"/>
      <c r="D105" s="661"/>
      <c r="E105" s="666"/>
      <c r="F105" s="226"/>
      <c r="G105" s="226"/>
    </row>
    <row r="106" spans="1:7" ht="25.5">
      <c r="A106" s="239">
        <v>1</v>
      </c>
      <c r="B106" s="268" t="s">
        <v>436</v>
      </c>
      <c r="C106" s="268"/>
      <c r="D106" s="239" t="s">
        <v>251</v>
      </c>
      <c r="E106" s="239">
        <v>98</v>
      </c>
      <c r="F106" s="226"/>
      <c r="G106" s="226"/>
    </row>
    <row r="107" spans="1:5" ht="51">
      <c r="A107" s="259">
        <v>2</v>
      </c>
      <c r="B107" s="265" t="s">
        <v>241</v>
      </c>
      <c r="C107" s="266"/>
      <c r="D107" s="267" t="s">
        <v>325</v>
      </c>
      <c r="E107" s="267" t="s">
        <v>437</v>
      </c>
    </row>
    <row r="108" spans="1:5" ht="25.5">
      <c r="A108" s="259">
        <v>3</v>
      </c>
      <c r="B108" s="268" t="s">
        <v>252</v>
      </c>
      <c r="C108" s="266"/>
      <c r="D108" s="267" t="s">
        <v>253</v>
      </c>
      <c r="E108" s="267" t="s">
        <v>438</v>
      </c>
    </row>
    <row r="109" spans="1:5" ht="25.5">
      <c r="A109" s="259">
        <v>4</v>
      </c>
      <c r="B109" s="268" t="s">
        <v>439</v>
      </c>
      <c r="C109" s="266"/>
      <c r="D109" s="267" t="s">
        <v>255</v>
      </c>
      <c r="E109" s="267" t="s">
        <v>440</v>
      </c>
    </row>
    <row r="110" spans="1:5" ht="12.75">
      <c r="A110" s="259">
        <v>5</v>
      </c>
      <c r="B110" s="268" t="s">
        <v>243</v>
      </c>
      <c r="C110" s="266"/>
      <c r="D110" s="239" t="s">
        <v>244</v>
      </c>
      <c r="E110" s="239" t="s">
        <v>244</v>
      </c>
    </row>
    <row r="111" spans="1:5" ht="38.25">
      <c r="A111" s="259">
        <v>6</v>
      </c>
      <c r="B111" s="268" t="s">
        <v>245</v>
      </c>
      <c r="C111" s="266"/>
      <c r="D111" s="239" t="s">
        <v>246</v>
      </c>
      <c r="E111" s="239" t="s">
        <v>441</v>
      </c>
    </row>
    <row r="112" spans="1:5" ht="25.5">
      <c r="A112" s="259">
        <v>7</v>
      </c>
      <c r="B112" s="268" t="s">
        <v>442</v>
      </c>
      <c r="C112" s="266"/>
      <c r="D112" s="269" t="s">
        <v>248</v>
      </c>
      <c r="E112" s="269">
        <v>6</v>
      </c>
    </row>
    <row r="113" spans="1:5" ht="25.5">
      <c r="A113" s="259">
        <v>8</v>
      </c>
      <c r="B113" s="268" t="s">
        <v>443</v>
      </c>
      <c r="C113" s="266"/>
      <c r="D113" s="239" t="s">
        <v>251</v>
      </c>
      <c r="E113" s="239">
        <v>95</v>
      </c>
    </row>
    <row r="114" spans="1:5" ht="12.75">
      <c r="A114" s="451"/>
      <c r="B114" s="452"/>
      <c r="C114" s="453"/>
      <c r="D114" s="454"/>
      <c r="E114" s="454"/>
    </row>
    <row r="115" spans="1:5" ht="12.75">
      <c r="A115" s="451"/>
      <c r="B115" s="452"/>
      <c r="C115" s="453"/>
      <c r="D115" s="454"/>
      <c r="E115" s="454"/>
    </row>
    <row r="116" spans="1:6" ht="12.75">
      <c r="A116" s="455"/>
      <c r="B116" s="456"/>
      <c r="C116" s="457"/>
      <c r="D116" s="457"/>
      <c r="E116" s="457"/>
      <c r="F116" s="457"/>
    </row>
    <row r="117" spans="1:6" ht="12.75">
      <c r="A117" s="455"/>
      <c r="B117" s="456"/>
      <c r="C117" s="457"/>
      <c r="D117" s="457"/>
      <c r="E117" s="457"/>
      <c r="F117" s="457"/>
    </row>
    <row r="118" spans="1:6" ht="12.75">
      <c r="A118" s="455" t="s">
        <v>71</v>
      </c>
      <c r="B118" s="456"/>
      <c r="C118" s="457"/>
      <c r="D118" s="457"/>
      <c r="E118" s="457"/>
      <c r="F118" s="457"/>
    </row>
    <row r="119" spans="1:7" ht="15">
      <c r="A119" s="235" t="s">
        <v>326</v>
      </c>
      <c r="B119" s="235"/>
      <c r="C119" s="235"/>
      <c r="D119" s="235"/>
      <c r="E119" s="235"/>
      <c r="F119" s="235"/>
      <c r="G119" s="235"/>
    </row>
    <row r="121" spans="1:7" ht="51">
      <c r="A121" s="643" t="s">
        <v>327</v>
      </c>
      <c r="B121" s="645"/>
      <c r="C121" s="239" t="s">
        <v>261</v>
      </c>
      <c r="D121" s="237" t="s">
        <v>328</v>
      </c>
      <c r="E121" s="239" t="s">
        <v>329</v>
      </c>
      <c r="F121" s="226"/>
      <c r="G121" s="226"/>
    </row>
    <row r="122" spans="1:7" ht="12.75">
      <c r="A122" s="688" t="s">
        <v>289</v>
      </c>
      <c r="B122" s="689"/>
      <c r="C122" s="239" t="s">
        <v>444</v>
      </c>
      <c r="D122" s="284">
        <f>C62+C70</f>
        <v>38163.19099</v>
      </c>
      <c r="E122" s="259">
        <f>D31</f>
        <v>902</v>
      </c>
      <c r="F122" s="226"/>
      <c r="G122" s="226"/>
    </row>
    <row r="124" spans="1:7" ht="15.75" thickBot="1">
      <c r="A124" s="458"/>
      <c r="B124" s="458"/>
      <c r="C124" s="458"/>
      <c r="D124" s="458"/>
      <c r="E124" s="458"/>
      <c r="F124" s="458"/>
      <c r="G124" s="458"/>
    </row>
    <row r="125" spans="1:7" ht="15">
      <c r="A125" s="459" t="s">
        <v>203</v>
      </c>
      <c r="B125" s="460" t="s">
        <v>330</v>
      </c>
      <c r="C125" s="458"/>
      <c r="D125" s="458"/>
      <c r="E125" s="458"/>
      <c r="F125" s="458"/>
      <c r="G125" s="458"/>
    </row>
    <row r="126" spans="1:7" ht="15">
      <c r="A126" s="235" t="s">
        <v>331</v>
      </c>
      <c r="B126" s="226"/>
      <c r="C126" s="226"/>
      <c r="D126" s="226"/>
      <c r="E126" s="226"/>
      <c r="F126" s="226"/>
      <c r="G126" s="226"/>
    </row>
    <row r="127" spans="1:7" ht="15">
      <c r="A127" s="235"/>
      <c r="B127" s="226"/>
      <c r="C127" s="226"/>
      <c r="D127" s="226"/>
      <c r="E127" s="226"/>
      <c r="F127" s="226"/>
      <c r="G127" s="226"/>
    </row>
    <row r="128" spans="1:7" ht="12.75">
      <c r="A128"/>
      <c r="B128"/>
      <c r="C128"/>
      <c r="D128"/>
      <c r="E128"/>
      <c r="F128"/>
      <c r="G128"/>
    </row>
    <row r="129" spans="1:6" ht="15">
      <c r="A129" s="685" t="s">
        <v>332</v>
      </c>
      <c r="B129" s="685"/>
      <c r="C129" s="685"/>
      <c r="D129" s="685"/>
      <c r="E129" s="685"/>
      <c r="F129" s="685"/>
    </row>
    <row r="130" spans="1:7" ht="12.75">
      <c r="A130" s="684" t="s">
        <v>470</v>
      </c>
      <c r="B130" s="684"/>
      <c r="C130" s="684"/>
      <c r="D130" s="684"/>
      <c r="E130" s="461"/>
      <c r="G130" s="462"/>
    </row>
    <row r="131" spans="1:7" ht="12.75">
      <c r="A131" s="463"/>
      <c r="B131" s="463"/>
      <c r="C131" s="463"/>
      <c r="D131" s="463"/>
      <c r="E131" s="463"/>
      <c r="G131" s="462"/>
    </row>
    <row r="132" spans="1:7" ht="12.75">
      <c r="A132" s="463"/>
      <c r="B132" s="463"/>
      <c r="C132" s="463"/>
      <c r="D132" s="463"/>
      <c r="E132" s="463"/>
      <c r="G132" s="462"/>
    </row>
    <row r="133" spans="1:7" ht="12.75">
      <c r="A133" s="457"/>
      <c r="B133" s="457"/>
      <c r="C133" s="457"/>
      <c r="D133" s="457"/>
      <c r="E133" s="457"/>
      <c r="G133" s="462"/>
    </row>
    <row r="136" spans="1:7" ht="12.75">
      <c r="A136"/>
      <c r="B136"/>
      <c r="C136"/>
      <c r="D136"/>
      <c r="E136"/>
      <c r="F136"/>
      <c r="G136"/>
    </row>
    <row r="137" spans="1:6" ht="27.75" customHeight="1">
      <c r="A137" s="685" t="s">
        <v>333</v>
      </c>
      <c r="B137" s="685"/>
      <c r="C137" s="685"/>
      <c r="D137" s="685"/>
      <c r="E137" s="685"/>
      <c r="F137" s="685"/>
    </row>
    <row r="138" spans="1:7" ht="12.75">
      <c r="A138" s="464" t="s">
        <v>471</v>
      </c>
      <c r="B138" s="464"/>
      <c r="C138" s="464"/>
      <c r="D138" s="464"/>
      <c r="E138" s="464"/>
      <c r="F138" s="461"/>
      <c r="G138" s="462"/>
    </row>
    <row r="139" spans="1:7" ht="12.75">
      <c r="A139" s="465" t="s">
        <v>472</v>
      </c>
      <c r="B139" s="465"/>
      <c r="C139" s="465"/>
      <c r="D139" s="465"/>
      <c r="E139" s="465"/>
      <c r="G139" s="462"/>
    </row>
    <row r="140" spans="1:7" ht="12.75">
      <c r="A140" s="463"/>
      <c r="B140" s="463"/>
      <c r="C140" s="463"/>
      <c r="D140" s="463"/>
      <c r="E140" s="463"/>
      <c r="G140" s="462"/>
    </row>
    <row r="141" spans="1:7" ht="12.75">
      <c r="A141" s="457"/>
      <c r="B141" s="457"/>
      <c r="C141" s="457"/>
      <c r="D141" s="457"/>
      <c r="E141" s="457"/>
      <c r="G141" s="462"/>
    </row>
    <row r="142" ht="12.75">
      <c r="G142" s="462"/>
    </row>
    <row r="143" spans="1:7" ht="15">
      <c r="A143" s="235" t="s">
        <v>334</v>
      </c>
      <c r="B143" s="235"/>
      <c r="C143" s="235"/>
      <c r="D143" s="235"/>
      <c r="E143" s="235"/>
      <c r="F143" s="235"/>
      <c r="G143" s="235"/>
    </row>
    <row r="144" spans="2:7" ht="12.75">
      <c r="B144" s="457"/>
      <c r="G144" s="462"/>
    </row>
    <row r="145" spans="1:7" ht="12.75">
      <c r="A145" s="466" t="s">
        <v>445</v>
      </c>
      <c r="B145" s="466"/>
      <c r="C145" s="466"/>
      <c r="D145" s="466"/>
      <c r="E145" s="466"/>
      <c r="G145" s="462"/>
    </row>
    <row r="146" spans="1:7" ht="12.75">
      <c r="A146" s="463"/>
      <c r="B146" s="463"/>
      <c r="C146" s="463"/>
      <c r="D146" s="463"/>
      <c r="E146" s="463"/>
      <c r="G146" s="462"/>
    </row>
    <row r="147" spans="1:7" ht="12.75">
      <c r="A147" s="463"/>
      <c r="B147" s="463"/>
      <c r="C147" s="463"/>
      <c r="D147" s="463"/>
      <c r="E147" s="463"/>
      <c r="G147" s="462"/>
    </row>
    <row r="148" spans="1:7" ht="12.75">
      <c r="A148" s="457"/>
      <c r="B148" s="457"/>
      <c r="C148" s="457"/>
      <c r="D148" s="457"/>
      <c r="E148" s="457"/>
      <c r="F148" s="457"/>
      <c r="G148" s="457"/>
    </row>
    <row r="149" spans="1:7" ht="12.75">
      <c r="A149" s="457"/>
      <c r="B149" s="457"/>
      <c r="C149" s="457"/>
      <c r="D149" s="457"/>
      <c r="E149" s="457"/>
      <c r="F149" s="457"/>
      <c r="G149" s="457"/>
    </row>
    <row r="150" spans="1:7" ht="12.75">
      <c r="A150" s="457"/>
      <c r="B150" s="457"/>
      <c r="C150" s="457"/>
      <c r="D150" s="457"/>
      <c r="E150" s="457"/>
      <c r="F150" s="457"/>
      <c r="G150" s="457"/>
    </row>
    <row r="153" spans="1:7" ht="16.5">
      <c r="A153" s="667" t="s">
        <v>446</v>
      </c>
      <c r="B153" s="667"/>
      <c r="C153" s="226"/>
      <c r="D153" s="285"/>
      <c r="E153" s="226" t="s">
        <v>447</v>
      </c>
      <c r="F153" s="226"/>
      <c r="G153" s="226"/>
    </row>
    <row r="154" spans="1:7" ht="16.5">
      <c r="A154" s="279"/>
      <c r="B154" s="280"/>
      <c r="C154" s="280"/>
      <c r="D154" s="280"/>
      <c r="E154" s="280"/>
      <c r="F154" s="280"/>
      <c r="G154" s="280"/>
    </row>
    <row r="155" spans="1:7" ht="16.5">
      <c r="A155" s="279"/>
      <c r="B155" s="236" t="s">
        <v>284</v>
      </c>
      <c r="C155" s="467"/>
      <c r="D155" s="236" t="s">
        <v>285</v>
      </c>
      <c r="E155" s="236"/>
      <c r="F155" s="236"/>
      <c r="G155" s="236"/>
    </row>
    <row r="156" spans="1:3" ht="16.5">
      <c r="A156" s="468"/>
      <c r="B156" s="469"/>
      <c r="C156" s="469"/>
    </row>
    <row r="157" spans="1:3" ht="16.5">
      <c r="A157" s="468"/>
      <c r="B157" s="469"/>
      <c r="C157" s="469"/>
    </row>
    <row r="158" spans="2:3" ht="15">
      <c r="B158" s="469"/>
      <c r="C158" s="469"/>
    </row>
    <row r="159" spans="2:3" ht="15">
      <c r="B159" s="469"/>
      <c r="C159" s="469"/>
    </row>
    <row r="160" spans="2:3" ht="15">
      <c r="B160" s="469"/>
      <c r="C160" s="469"/>
    </row>
    <row r="161" spans="2:3" ht="15">
      <c r="B161" s="469"/>
      <c r="C161" s="469"/>
    </row>
    <row r="162" ht="15">
      <c r="C162" s="469"/>
    </row>
    <row r="163" ht="15">
      <c r="C163" s="469"/>
    </row>
  </sheetData>
  <sheetProtection/>
  <mergeCells count="121">
    <mergeCell ref="C60:D60"/>
    <mergeCell ref="A80:B80"/>
    <mergeCell ref="C80:D80"/>
    <mergeCell ref="A121:B121"/>
    <mergeCell ref="A122:B122"/>
    <mergeCell ref="A129:F129"/>
    <mergeCell ref="D104:D105"/>
    <mergeCell ref="E104:E105"/>
    <mergeCell ref="A95:A96"/>
    <mergeCell ref="B95:B96"/>
    <mergeCell ref="A130:D130"/>
    <mergeCell ref="A137:F137"/>
    <mergeCell ref="A153:B153"/>
    <mergeCell ref="C98:D98"/>
    <mergeCell ref="F98:G98"/>
    <mergeCell ref="C99:D99"/>
    <mergeCell ref="F99:G99"/>
    <mergeCell ref="A104:A105"/>
    <mergeCell ref="B104:B105"/>
    <mergeCell ref="C104:C105"/>
    <mergeCell ref="C95:D96"/>
    <mergeCell ref="F95:G96"/>
    <mergeCell ref="C97:D97"/>
    <mergeCell ref="F97:G97"/>
    <mergeCell ref="F86:G87"/>
    <mergeCell ref="C88:D88"/>
    <mergeCell ref="F88:G88"/>
    <mergeCell ref="C89:D89"/>
    <mergeCell ref="F89:G89"/>
    <mergeCell ref="C90:D90"/>
    <mergeCell ref="F90:G90"/>
    <mergeCell ref="A78:B78"/>
    <mergeCell ref="C78:D78"/>
    <mergeCell ref="A79:B79"/>
    <mergeCell ref="C79:D79"/>
    <mergeCell ref="A86:A87"/>
    <mergeCell ref="B86:B87"/>
    <mergeCell ref="C86:D87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1:G61"/>
    <mergeCell ref="A62:B62"/>
    <mergeCell ref="C62:D62"/>
    <mergeCell ref="A63:B63"/>
    <mergeCell ref="C63:D63"/>
    <mergeCell ref="A64:B64"/>
    <mergeCell ref="C64:D64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0:B50"/>
    <mergeCell ref="C50:D50"/>
    <mergeCell ref="A52:B52"/>
    <mergeCell ref="C52:D52"/>
    <mergeCell ref="A53:B53"/>
    <mergeCell ref="C53:D53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E40:G40"/>
    <mergeCell ref="A41:G41"/>
    <mergeCell ref="A42:B42"/>
    <mergeCell ref="C42:D42"/>
    <mergeCell ref="A43:B43"/>
    <mergeCell ref="C43:D43"/>
    <mergeCell ref="A31:B31"/>
    <mergeCell ref="A32:B32"/>
    <mergeCell ref="A33:B33"/>
    <mergeCell ref="A34:B34"/>
    <mergeCell ref="A40:B40"/>
    <mergeCell ref="C40:D40"/>
    <mergeCell ref="A60:B60"/>
    <mergeCell ref="A51:B51"/>
    <mergeCell ref="A71:B71"/>
    <mergeCell ref="C18:G18"/>
    <mergeCell ref="A24:B24"/>
    <mergeCell ref="E24:G24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landscape" paperSize="9" scale="78" r:id="rId1"/>
  <rowBreaks count="5" manualBreakCount="5">
    <brk id="37" max="255" man="1"/>
    <brk id="57" max="6" man="1"/>
    <brk id="75" max="6" man="1"/>
    <brk id="101" max="6" man="1"/>
    <brk id="1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view="pageBreakPreview" zoomScale="85" zoomScaleSheetLayoutView="85" workbookViewId="0" topLeftCell="H17">
      <selection activeCell="R9" sqref="R9"/>
    </sheetView>
  </sheetViews>
  <sheetFormatPr defaultColWidth="9.00390625" defaultRowHeight="12.75"/>
  <cols>
    <col min="1" max="1" width="9.125" style="273" customWidth="1"/>
    <col min="2" max="2" width="33.625" style="273" customWidth="1"/>
    <col min="3" max="3" width="8.75390625" style="273" bestFit="1" customWidth="1"/>
    <col min="4" max="8" width="14.75390625" style="273" bestFit="1" customWidth="1"/>
    <col min="9" max="9" width="15.00390625" style="273" customWidth="1"/>
    <col min="10" max="10" width="16.625" style="273" bestFit="1" customWidth="1"/>
    <col min="11" max="11" width="15.875" style="273" bestFit="1" customWidth="1"/>
    <col min="12" max="12" width="14.625" style="273" customWidth="1"/>
    <col min="13" max="13" width="14.75390625" style="273" bestFit="1" customWidth="1"/>
    <col min="14" max="14" width="15.00390625" style="273" customWidth="1"/>
    <col min="15" max="15" width="14.625" style="273" customWidth="1"/>
    <col min="16" max="16" width="14.25390625" style="273" customWidth="1"/>
    <col min="17" max="18" width="15.25390625" style="273" customWidth="1"/>
    <col min="19" max="19" width="15.875" style="273" bestFit="1" customWidth="1"/>
    <col min="20" max="20" width="17.25390625" style="273" customWidth="1"/>
    <col min="21" max="21" width="15.875" style="273" bestFit="1" customWidth="1"/>
    <col min="22" max="22" width="16.875" style="273" customWidth="1"/>
    <col min="23" max="16384" width="9.125" style="273" customWidth="1"/>
  </cols>
  <sheetData>
    <row r="1" spans="2:20" ht="15">
      <c r="B1" s="591" t="s">
        <v>410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2:20" ht="15">
      <c r="B2" s="326"/>
      <c r="C2" s="592" t="s">
        <v>74</v>
      </c>
      <c r="D2" s="592" t="s">
        <v>147</v>
      </c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3"/>
      <c r="T2" s="327"/>
    </row>
    <row r="3" spans="2:20" ht="15">
      <c r="B3" s="326"/>
      <c r="C3" s="592"/>
      <c r="D3" s="326">
        <v>1</v>
      </c>
      <c r="E3" s="326">
        <v>2</v>
      </c>
      <c r="F3" s="326">
        <v>3</v>
      </c>
      <c r="G3" s="326" t="s">
        <v>146</v>
      </c>
      <c r="H3" s="326">
        <v>4</v>
      </c>
      <c r="I3" s="326">
        <v>5</v>
      </c>
      <c r="J3" s="326">
        <v>6</v>
      </c>
      <c r="K3" s="326" t="s">
        <v>145</v>
      </c>
      <c r="L3" s="326">
        <v>7</v>
      </c>
      <c r="M3" s="326">
        <v>8</v>
      </c>
      <c r="N3" s="326">
        <v>9</v>
      </c>
      <c r="O3" s="326" t="s">
        <v>144</v>
      </c>
      <c r="P3" s="326">
        <v>10</v>
      </c>
      <c r="Q3" s="326">
        <v>11</v>
      </c>
      <c r="R3" s="326">
        <v>12</v>
      </c>
      <c r="S3" s="326" t="s">
        <v>143</v>
      </c>
      <c r="T3" s="326"/>
    </row>
    <row r="4" spans="1:22" ht="15">
      <c r="A4" s="594" t="s">
        <v>368</v>
      </c>
      <c r="B4" s="326"/>
      <c r="C4" s="328">
        <v>211</v>
      </c>
      <c r="D4" s="345">
        <v>2777914</v>
      </c>
      <c r="E4" s="345">
        <f>'прил.1+2'!L9</f>
        <v>2777914</v>
      </c>
      <c r="F4" s="345">
        <f>G4-D4-E4</f>
        <v>2777914</v>
      </c>
      <c r="G4" s="345">
        <v>8333742</v>
      </c>
      <c r="H4" s="345">
        <f>D4</f>
        <v>2777914</v>
      </c>
      <c r="I4" s="345">
        <v>3924925</v>
      </c>
      <c r="J4" s="345">
        <v>2616617</v>
      </c>
      <c r="K4" s="345">
        <f>H4+I4+J4</f>
        <v>9319456</v>
      </c>
      <c r="L4" s="345">
        <v>1831632</v>
      </c>
      <c r="M4" s="345">
        <f>1069972.2+1023321.8</f>
        <v>2093294</v>
      </c>
      <c r="N4" s="345">
        <v>2738592</v>
      </c>
      <c r="O4" s="345">
        <f>L4+M4+N4</f>
        <v>6663518</v>
      </c>
      <c r="P4" s="345">
        <v>3265043</v>
      </c>
      <c r="Q4" s="345">
        <v>3242177</v>
      </c>
      <c r="R4" s="345">
        <v>3242177</v>
      </c>
      <c r="S4" s="345">
        <f>P4+Q4+R4</f>
        <v>9749397</v>
      </c>
      <c r="T4" s="345">
        <f>T5+T6</f>
        <v>34066113</v>
      </c>
      <c r="U4" s="329">
        <f>проверка!C7</f>
        <v>34066113</v>
      </c>
      <c r="V4" s="329">
        <f>U4-T4</f>
        <v>0</v>
      </c>
    </row>
    <row r="5" spans="1:22" s="235" customFormat="1" ht="33.75">
      <c r="A5" s="594"/>
      <c r="B5" s="322" t="s">
        <v>142</v>
      </c>
      <c r="C5" s="330">
        <v>211</v>
      </c>
      <c r="D5" s="346">
        <v>1666748.4</v>
      </c>
      <c r="E5" s="346">
        <f>'прил.1+2'!L10</f>
        <v>1459736.25</v>
      </c>
      <c r="F5" s="346">
        <f>E5</f>
        <v>1459736.25</v>
      </c>
      <c r="G5" s="347">
        <f>SUM(D5:F5)</f>
        <v>4586220.9</v>
      </c>
      <c r="H5" s="346">
        <f>D5</f>
        <v>1666748.4</v>
      </c>
      <c r="I5" s="346">
        <f>I4*60%</f>
        <v>2354955</v>
      </c>
      <c r="J5" s="346">
        <f>J4*60%</f>
        <v>1569970.2</v>
      </c>
      <c r="K5" s="428">
        <f>SUM(H5:J5)</f>
        <v>5591673.6</v>
      </c>
      <c r="L5" s="346">
        <v>1069970.2</v>
      </c>
      <c r="M5" s="346">
        <v>1069971.2</v>
      </c>
      <c r="N5" s="346">
        <f>N4*60%</f>
        <v>1643155.2</v>
      </c>
      <c r="O5" s="428">
        <f>SUM(L5:N5)</f>
        <v>3783096.5999999996</v>
      </c>
      <c r="P5" s="346">
        <f>P4*60%-650000-304315.48</f>
        <v>1004710.3199999998</v>
      </c>
      <c r="Q5" s="346">
        <f>Q4*60%-650000-1987.15-225000</f>
        <v>1068319.05</v>
      </c>
      <c r="R5" s="346">
        <f>R4*60%-750000-300000</f>
        <v>895306.2</v>
      </c>
      <c r="S5" s="428">
        <f>SUM(P5:R5)</f>
        <v>2968335.57</v>
      </c>
      <c r="T5" s="349">
        <f>S5+O5+K5+G5</f>
        <v>16929326.67</v>
      </c>
      <c r="U5" s="332">
        <f>'свод '!F16</f>
        <v>16929326.67</v>
      </c>
      <c r="V5" s="329">
        <f aca="true" t="shared" si="0" ref="V5:V19">U5-T5</f>
        <v>0</v>
      </c>
    </row>
    <row r="6" spans="1:22" ht="33.75">
      <c r="A6" s="594"/>
      <c r="B6" s="322" t="s">
        <v>53</v>
      </c>
      <c r="C6" s="333">
        <v>211</v>
      </c>
      <c r="D6" s="349">
        <f>D4-D5</f>
        <v>1111165.6</v>
      </c>
      <c r="E6" s="349">
        <f>E4-E5</f>
        <v>1318177.75</v>
      </c>
      <c r="F6" s="349">
        <f>F4-F5</f>
        <v>1318177.75</v>
      </c>
      <c r="G6" s="347">
        <f>SUM(D6:F6)</f>
        <v>3747521.1</v>
      </c>
      <c r="H6" s="349">
        <f>D6</f>
        <v>1111165.6</v>
      </c>
      <c r="I6" s="349">
        <f>I4-I5</f>
        <v>1569970</v>
      </c>
      <c r="J6" s="349">
        <f>J4-J5</f>
        <v>1046646.8</v>
      </c>
      <c r="K6" s="348">
        <f>SUM(H6:J6)</f>
        <v>3727782.4000000004</v>
      </c>
      <c r="L6" s="349">
        <f>L4-L5</f>
        <v>761661.8</v>
      </c>
      <c r="M6" s="349">
        <f>M4-M5</f>
        <v>1023322.8</v>
      </c>
      <c r="N6" s="349">
        <f>N4-N5</f>
        <v>1095436.8</v>
      </c>
      <c r="O6" s="428">
        <f>SUM(L6:N6)</f>
        <v>2880421.4000000004</v>
      </c>
      <c r="P6" s="349">
        <f>P4-P5</f>
        <v>2260332.68</v>
      </c>
      <c r="Q6" s="349">
        <f>Q4-Q5</f>
        <v>2173857.95</v>
      </c>
      <c r="R6" s="349">
        <f>R4-R5</f>
        <v>2346870.8</v>
      </c>
      <c r="S6" s="428">
        <f>SUM(P6:R6)</f>
        <v>6781061.430000001</v>
      </c>
      <c r="T6" s="349">
        <f aca="true" t="shared" si="1" ref="T6:T12">S6+O6+K6+G6</f>
        <v>17136786.330000002</v>
      </c>
      <c r="U6" s="329">
        <f>'свод '!F36</f>
        <v>17136786.330000002</v>
      </c>
      <c r="V6" s="329">
        <f t="shared" si="0"/>
        <v>0</v>
      </c>
    </row>
    <row r="7" spans="1:22" ht="45">
      <c r="A7" s="594"/>
      <c r="B7" s="322" t="s">
        <v>141</v>
      </c>
      <c r="C7" s="333">
        <v>213</v>
      </c>
      <c r="D7" s="349">
        <v>503358</v>
      </c>
      <c r="E7" s="349">
        <f>ROUND(E5*0.302,0)</f>
        <v>440840</v>
      </c>
      <c r="F7" s="349">
        <f>E7</f>
        <v>440840</v>
      </c>
      <c r="G7" s="347">
        <f>SUM(D7:F7)</f>
        <v>1385038</v>
      </c>
      <c r="H7" s="349">
        <v>503358</v>
      </c>
      <c r="I7" s="349">
        <f>ROUND(I5*0.302,0)-101242.85</f>
        <v>609953.15</v>
      </c>
      <c r="J7" s="349">
        <f>ROUND(J5*0.302,0)</f>
        <v>474131</v>
      </c>
      <c r="K7" s="348">
        <f>SUM(H7:J7)</f>
        <v>1587442.15</v>
      </c>
      <c r="L7" s="349">
        <v>503358</v>
      </c>
      <c r="M7" s="349">
        <v>503358</v>
      </c>
      <c r="N7" s="349">
        <v>347005.2</v>
      </c>
      <c r="O7" s="428">
        <f>SUM(L7:N7)</f>
        <v>1353721.2</v>
      </c>
      <c r="P7" s="349">
        <f>356988.4-90453.27</f>
        <v>266535.13</v>
      </c>
      <c r="Q7" s="349">
        <f>356988.4-85000</f>
        <v>271988.4</v>
      </c>
      <c r="R7" s="349">
        <f>425008.09-102076.32-75000</f>
        <v>247931.77000000002</v>
      </c>
      <c r="S7" s="428">
        <f>SUM(P7:R7)</f>
        <v>786455.3</v>
      </c>
      <c r="T7" s="349">
        <f>S7+O7+K7+G7</f>
        <v>5112656.65</v>
      </c>
      <c r="U7" s="329">
        <f>'свод '!F17</f>
        <v>5112656.65</v>
      </c>
      <c r="V7" s="329">
        <f t="shared" si="0"/>
        <v>0</v>
      </c>
    </row>
    <row r="8" spans="1:22" s="263" customFormat="1" ht="45">
      <c r="A8" s="594"/>
      <c r="B8" s="322" t="s">
        <v>349</v>
      </c>
      <c r="C8" s="330">
        <v>213</v>
      </c>
      <c r="D8" s="349">
        <f>D9-D7</f>
        <v>335572</v>
      </c>
      <c r="E8" s="349">
        <f>E9-E7</f>
        <v>398090</v>
      </c>
      <c r="F8" s="349">
        <f>F9-F7</f>
        <v>398090</v>
      </c>
      <c r="G8" s="347">
        <f>SUM(D8:F8)</f>
        <v>1131752</v>
      </c>
      <c r="H8" s="349">
        <v>335572</v>
      </c>
      <c r="I8" s="349">
        <f>I9-I7</f>
        <v>575373.85</v>
      </c>
      <c r="J8" s="349">
        <f>J9-J7</f>
        <v>316087</v>
      </c>
      <c r="K8" s="348">
        <f>SUM(H8:J8)</f>
        <v>1227032.85</v>
      </c>
      <c r="L8" s="349">
        <f>L9-L7</f>
        <v>49794</v>
      </c>
      <c r="M8" s="349">
        <f>M9-M7</f>
        <v>128816</v>
      </c>
      <c r="N8" s="349">
        <f>N9-N7</f>
        <v>443213.8</v>
      </c>
      <c r="O8" s="428">
        <f>SUM(L8:N8)</f>
        <v>621823.8</v>
      </c>
      <c r="P8" s="349">
        <f>P9-P7</f>
        <v>756347.87</v>
      </c>
      <c r="Q8" s="349">
        <f>Q9-Q7</f>
        <v>707148.6</v>
      </c>
      <c r="R8" s="349">
        <f>R9-R7</f>
        <v>731205.23</v>
      </c>
      <c r="S8" s="428">
        <f>SUM(P8:R8)</f>
        <v>2194701.7</v>
      </c>
      <c r="T8" s="349">
        <f t="shared" si="1"/>
        <v>5175310.35</v>
      </c>
      <c r="U8" s="335">
        <f>'свод '!F38</f>
        <v>5175310.35</v>
      </c>
      <c r="V8" s="329">
        <f t="shared" si="0"/>
        <v>0</v>
      </c>
    </row>
    <row r="9" spans="1:22" s="235" customFormat="1" ht="15">
      <c r="A9" s="594"/>
      <c r="B9" s="322"/>
      <c r="C9" s="331">
        <v>213</v>
      </c>
      <c r="D9" s="345">
        <v>838930</v>
      </c>
      <c r="E9" s="345">
        <f>ROUND(E4*0.302,0)</f>
        <v>838930</v>
      </c>
      <c r="F9" s="345">
        <f>G9-D9-E9</f>
        <v>838930</v>
      </c>
      <c r="G9" s="345">
        <v>2516790</v>
      </c>
      <c r="H9" s="345">
        <v>838930</v>
      </c>
      <c r="I9" s="345">
        <v>1185327</v>
      </c>
      <c r="J9" s="345">
        <v>790218</v>
      </c>
      <c r="K9" s="345">
        <f>H9+I9+J9</f>
        <v>2814475</v>
      </c>
      <c r="L9" s="345">
        <v>553152</v>
      </c>
      <c r="M9" s="345">
        <v>632174</v>
      </c>
      <c r="N9" s="345">
        <v>790219</v>
      </c>
      <c r="O9" s="345">
        <f>L9+M9+N9</f>
        <v>1975545</v>
      </c>
      <c r="P9" s="345">
        <v>1022883</v>
      </c>
      <c r="Q9" s="345">
        <f>ROUND(Q4*0.302,0)</f>
        <v>979137</v>
      </c>
      <c r="R9" s="345">
        <v>979137</v>
      </c>
      <c r="S9" s="345">
        <v>2981157</v>
      </c>
      <c r="T9" s="345">
        <f>T7+T8</f>
        <v>10287967</v>
      </c>
      <c r="U9" s="332">
        <f>проверка!C8</f>
        <v>10287967</v>
      </c>
      <c r="V9" s="329">
        <f t="shared" si="0"/>
        <v>0</v>
      </c>
    </row>
    <row r="10" spans="1:22" s="235" customFormat="1" ht="15">
      <c r="A10" s="594"/>
      <c r="B10" s="260" t="s">
        <v>139</v>
      </c>
      <c r="C10" s="326">
        <v>226</v>
      </c>
      <c r="D10" s="349"/>
      <c r="E10" s="349"/>
      <c r="F10" s="349">
        <f>G10-D10-E10</f>
        <v>10931</v>
      </c>
      <c r="G10" s="347">
        <v>10931</v>
      </c>
      <c r="H10" s="349"/>
      <c r="I10" s="349"/>
      <c r="J10" s="349">
        <v>10931</v>
      </c>
      <c r="K10" s="347">
        <f>J10</f>
        <v>10931</v>
      </c>
      <c r="L10" s="349"/>
      <c r="M10" s="349"/>
      <c r="N10" s="349">
        <v>10931</v>
      </c>
      <c r="O10" s="347">
        <f>N10</f>
        <v>10931</v>
      </c>
      <c r="P10" s="349"/>
      <c r="Q10" s="349"/>
      <c r="R10" s="349">
        <f>S10-P10-Q10</f>
        <v>0</v>
      </c>
      <c r="S10" s="347">
        <v>0</v>
      </c>
      <c r="T10" s="349">
        <f>S10+O10+K10+G10</f>
        <v>32793</v>
      </c>
      <c r="U10" s="332">
        <f>проверка!C9</f>
        <v>32793</v>
      </c>
      <c r="V10" s="329">
        <f t="shared" si="0"/>
        <v>0</v>
      </c>
    </row>
    <row r="11" spans="1:22" s="235" customFormat="1" ht="15">
      <c r="A11" s="594"/>
      <c r="B11" s="325" t="s">
        <v>370</v>
      </c>
      <c r="C11" s="326">
        <v>340</v>
      </c>
      <c r="D11" s="349"/>
      <c r="E11" s="349"/>
      <c r="F11" s="349">
        <f>G11-D11-E11</f>
        <v>0</v>
      </c>
      <c r="G11" s="347">
        <v>0</v>
      </c>
      <c r="H11" s="349">
        <v>201008</v>
      </c>
      <c r="I11" s="349"/>
      <c r="J11" s="349"/>
      <c r="K11" s="347">
        <f>H11+I11+J11</f>
        <v>201008</v>
      </c>
      <c r="L11" s="349"/>
      <c r="M11" s="349"/>
      <c r="N11" s="349">
        <f>O11-L11-M11</f>
        <v>0</v>
      </c>
      <c r="O11" s="347">
        <v>0</v>
      </c>
      <c r="P11" s="349"/>
      <c r="Q11" s="349">
        <v>106180</v>
      </c>
      <c r="R11" s="349">
        <f>S11-P11-Q11</f>
        <v>0</v>
      </c>
      <c r="S11" s="347">
        <f>Q11</f>
        <v>106180</v>
      </c>
      <c r="T11" s="349">
        <f>S11+O11+K11+G11</f>
        <v>307188</v>
      </c>
      <c r="U11" s="332">
        <f>проверка!C10</f>
        <v>307188</v>
      </c>
      <c r="V11" s="329">
        <f t="shared" si="0"/>
        <v>0</v>
      </c>
    </row>
    <row r="12" spans="1:22" s="483" customFormat="1" ht="15">
      <c r="A12" s="594"/>
      <c r="B12" s="478"/>
      <c r="C12" s="479"/>
      <c r="D12" s="480">
        <f>D9+D4</f>
        <v>3616844</v>
      </c>
      <c r="E12" s="480">
        <f>E9+E4</f>
        <v>3616844</v>
      </c>
      <c r="F12" s="480">
        <f>F9+F4+F10</f>
        <v>3627775</v>
      </c>
      <c r="G12" s="480">
        <f>D12+E12+F12</f>
        <v>10861463</v>
      </c>
      <c r="H12" s="480">
        <f>H9+H4+H11</f>
        <v>3817852</v>
      </c>
      <c r="I12" s="480">
        <f>I9+I4</f>
        <v>5110252</v>
      </c>
      <c r="J12" s="480">
        <f>J9+J4+J10+J11</f>
        <v>3417766</v>
      </c>
      <c r="K12" s="480">
        <f>H12+I12+J12</f>
        <v>12345870</v>
      </c>
      <c r="L12" s="480">
        <f>L9+L4</f>
        <v>2384784</v>
      </c>
      <c r="M12" s="480">
        <f>M9+M4</f>
        <v>2725468</v>
      </c>
      <c r="N12" s="480">
        <f>N9+N4+N10</f>
        <v>3539742</v>
      </c>
      <c r="O12" s="480">
        <f>L12+M12+N12</f>
        <v>8649994</v>
      </c>
      <c r="P12" s="480">
        <f>P9+P4</f>
        <v>4287926</v>
      </c>
      <c r="Q12" s="480">
        <f>Q9+Q4+Q11</f>
        <v>4327494</v>
      </c>
      <c r="R12" s="480">
        <f>R9+R4</f>
        <v>4221314</v>
      </c>
      <c r="S12" s="480">
        <f>P12+Q12+R12</f>
        <v>12836734</v>
      </c>
      <c r="T12" s="480">
        <f t="shared" si="1"/>
        <v>44694061</v>
      </c>
      <c r="U12" s="481"/>
      <c r="V12" s="482"/>
    </row>
    <row r="13" spans="1:22" s="235" customFormat="1" ht="15">
      <c r="A13" s="416"/>
      <c r="B13" s="322"/>
      <c r="C13" s="331"/>
      <c r="D13" s="345">
        <f>D15+D14</f>
        <v>82856</v>
      </c>
      <c r="E13" s="345">
        <f>E15+E14</f>
        <v>207139</v>
      </c>
      <c r="F13" s="345">
        <f>G13-D13-E13</f>
        <v>207139</v>
      </c>
      <c r="G13" s="345">
        <v>497134</v>
      </c>
      <c r="H13" s="345">
        <f>H15</f>
        <v>207139</v>
      </c>
      <c r="I13" s="345">
        <f>I15</f>
        <v>232312</v>
      </c>
      <c r="J13" s="345">
        <f>K13-H13-I13</f>
        <v>181966</v>
      </c>
      <c r="K13" s="345">
        <v>621417</v>
      </c>
      <c r="L13" s="345">
        <f>L15</f>
        <v>207139</v>
      </c>
      <c r="M13" s="345">
        <f>M14+M15</f>
        <v>207139</v>
      </c>
      <c r="N13" s="345">
        <f>O13-L13-M13</f>
        <v>207139</v>
      </c>
      <c r="O13" s="345">
        <v>621417</v>
      </c>
      <c r="P13" s="345">
        <f>P15</f>
        <v>207139</v>
      </c>
      <c r="Q13" s="345">
        <f>Q15</f>
        <v>207139</v>
      </c>
      <c r="R13" s="345">
        <f>S13-P13-Q13</f>
        <v>331422</v>
      </c>
      <c r="S13" s="345">
        <v>745700</v>
      </c>
      <c r="T13" s="345">
        <f>S13+O13+K13+G13</f>
        <v>2485668</v>
      </c>
      <c r="U13" s="332"/>
      <c r="V13" s="329"/>
    </row>
    <row r="14" spans="1:22" s="235" customFormat="1" ht="33.75">
      <c r="A14" s="416"/>
      <c r="B14" s="322" t="s">
        <v>142</v>
      </c>
      <c r="C14" s="331">
        <v>211</v>
      </c>
      <c r="D14" s="349"/>
      <c r="E14" s="349"/>
      <c r="F14" s="349"/>
      <c r="G14" s="417">
        <f>SUM(D14:F14)</f>
        <v>0</v>
      </c>
      <c r="H14" s="349"/>
      <c r="I14" s="349"/>
      <c r="J14" s="349"/>
      <c r="K14" s="417"/>
      <c r="L14" s="349"/>
      <c r="M14" s="349"/>
      <c r="N14" s="349"/>
      <c r="O14" s="417">
        <f>SUM(L14:N14)</f>
        <v>0</v>
      </c>
      <c r="P14" s="349"/>
      <c r="Q14" s="349"/>
      <c r="R14" s="349"/>
      <c r="S14" s="417"/>
      <c r="T14" s="349">
        <f>G14+K14+O14+S14</f>
        <v>0</v>
      </c>
      <c r="U14" s="332" t="e">
        <f>'свод '!F22</f>
        <v>#DIV/0!</v>
      </c>
      <c r="V14" s="329" t="e">
        <f t="shared" si="0"/>
        <v>#DIV/0!</v>
      </c>
    </row>
    <row r="15" spans="1:22" s="235" customFormat="1" ht="33.75">
      <c r="A15" s="416"/>
      <c r="B15" s="322" t="s">
        <v>53</v>
      </c>
      <c r="C15" s="331">
        <v>211</v>
      </c>
      <c r="D15" s="349">
        <f>ROUND('прил.1+2'!L25*0.4,0)</f>
        <v>82856</v>
      </c>
      <c r="E15" s="349">
        <f>'прил.1+2'!L25</f>
        <v>207139</v>
      </c>
      <c r="F15" s="349">
        <f>E15</f>
        <v>207139</v>
      </c>
      <c r="G15" s="417">
        <f>SUM(D15:F15)</f>
        <v>497134</v>
      </c>
      <c r="H15" s="349">
        <f>F15</f>
        <v>207139</v>
      </c>
      <c r="I15" s="349">
        <v>232312</v>
      </c>
      <c r="J15" s="349">
        <v>181966</v>
      </c>
      <c r="K15" s="417">
        <f>H15+I15+J15</f>
        <v>621417</v>
      </c>
      <c r="L15" s="349">
        <v>207139</v>
      </c>
      <c r="M15" s="349">
        <f aca="true" t="shared" si="2" ref="M15:N17">L15</f>
        <v>207139</v>
      </c>
      <c r="N15" s="349">
        <f t="shared" si="2"/>
        <v>207139</v>
      </c>
      <c r="O15" s="417">
        <f>SUM(L15:N15)</f>
        <v>621417</v>
      </c>
      <c r="P15" s="349">
        <f>N15</f>
        <v>207139</v>
      </c>
      <c r="Q15" s="349">
        <f>P15</f>
        <v>207139</v>
      </c>
      <c r="R15" s="349">
        <v>331422</v>
      </c>
      <c r="S15" s="417">
        <f>P15+Q15+R15</f>
        <v>745700</v>
      </c>
      <c r="T15" s="349">
        <f>G15+K15+O15+S15</f>
        <v>2485668</v>
      </c>
      <c r="U15" s="332">
        <f>'свод '!F41</f>
        <v>2485668</v>
      </c>
      <c r="V15" s="329">
        <f t="shared" si="0"/>
        <v>0</v>
      </c>
    </row>
    <row r="16" spans="1:22" ht="45">
      <c r="A16" s="594" t="s">
        <v>369</v>
      </c>
      <c r="B16" s="322" t="s">
        <v>141</v>
      </c>
      <c r="C16" s="326">
        <v>213</v>
      </c>
      <c r="D16" s="349"/>
      <c r="E16" s="349"/>
      <c r="F16" s="349">
        <f>E16</f>
        <v>0</v>
      </c>
      <c r="G16" s="417">
        <f>SUM(D16:F16)</f>
        <v>0</v>
      </c>
      <c r="H16" s="349">
        <f>F16</f>
        <v>0</v>
      </c>
      <c r="I16" s="349">
        <f>H16</f>
        <v>0</v>
      </c>
      <c r="J16" s="349">
        <f>I16</f>
        <v>0</v>
      </c>
      <c r="K16" s="347">
        <f>H16+I16+J16</f>
        <v>0</v>
      </c>
      <c r="L16" s="349">
        <f>J16</f>
        <v>0</v>
      </c>
      <c r="M16" s="349">
        <f t="shared" si="2"/>
        <v>0</v>
      </c>
      <c r="N16" s="349">
        <f t="shared" si="2"/>
        <v>0</v>
      </c>
      <c r="O16" s="417">
        <f>SUM(L16:N16)</f>
        <v>0</v>
      </c>
      <c r="P16" s="349">
        <f>N16</f>
        <v>0</v>
      </c>
      <c r="Q16" s="349">
        <f>N16</f>
        <v>0</v>
      </c>
      <c r="R16" s="349"/>
      <c r="S16" s="417">
        <f>P16+Q16+R16</f>
        <v>0</v>
      </c>
      <c r="T16" s="349">
        <f>G16+K16+O16+S16</f>
        <v>0</v>
      </c>
      <c r="U16" s="329" t="e">
        <f>'свод '!F23</f>
        <v>#DIV/0!</v>
      </c>
      <c r="V16" s="329" t="e">
        <f t="shared" si="0"/>
        <v>#DIV/0!</v>
      </c>
    </row>
    <row r="17" spans="1:22" ht="45">
      <c r="A17" s="594"/>
      <c r="B17" s="322" t="s">
        <v>349</v>
      </c>
      <c r="C17" s="326">
        <v>213</v>
      </c>
      <c r="D17" s="349"/>
      <c r="E17" s="349">
        <f>ROUND(E15*0.302,0)</f>
        <v>62556</v>
      </c>
      <c r="F17" s="349">
        <f>E17</f>
        <v>62556</v>
      </c>
      <c r="G17" s="417">
        <f>SUM(D17:F17)</f>
        <v>125112</v>
      </c>
      <c r="H17" s="349">
        <f>F17</f>
        <v>62556</v>
      </c>
      <c r="I17" s="349">
        <f>H17</f>
        <v>62556</v>
      </c>
      <c r="J17" s="349">
        <f>I17</f>
        <v>62556</v>
      </c>
      <c r="K17" s="347">
        <f>H17+I17+J17</f>
        <v>187668</v>
      </c>
      <c r="L17" s="349">
        <f>J17</f>
        <v>62556</v>
      </c>
      <c r="M17" s="349">
        <f t="shared" si="2"/>
        <v>62556</v>
      </c>
      <c r="N17" s="349">
        <f t="shared" si="2"/>
        <v>62556</v>
      </c>
      <c r="O17" s="417">
        <f>SUM(L17:N17)</f>
        <v>187668</v>
      </c>
      <c r="P17" s="349">
        <f>N17</f>
        <v>62556</v>
      </c>
      <c r="Q17" s="349">
        <f>P17</f>
        <v>62556</v>
      </c>
      <c r="R17" s="349">
        <v>125112</v>
      </c>
      <c r="S17" s="417">
        <f>P17+Q17+R17</f>
        <v>250224</v>
      </c>
      <c r="T17" s="349">
        <f>G17+K17+O17+S17</f>
        <v>750672</v>
      </c>
      <c r="U17" s="329">
        <f>'свод '!F42</f>
        <v>750672</v>
      </c>
      <c r="V17" s="329">
        <f t="shared" si="0"/>
        <v>0</v>
      </c>
    </row>
    <row r="18" spans="1:22" ht="15">
      <c r="A18" s="594"/>
      <c r="B18" s="322"/>
      <c r="C18" s="326"/>
      <c r="D18" s="345"/>
      <c r="E18" s="345">
        <f>E17</f>
        <v>62556</v>
      </c>
      <c r="F18" s="345">
        <f>F17</f>
        <v>62556</v>
      </c>
      <c r="G18" s="345">
        <v>125112</v>
      </c>
      <c r="H18" s="345">
        <f>H17</f>
        <v>62556</v>
      </c>
      <c r="I18" s="345">
        <f>I17</f>
        <v>62556</v>
      </c>
      <c r="J18" s="345">
        <f>J17</f>
        <v>62556</v>
      </c>
      <c r="K18" s="345">
        <v>187668</v>
      </c>
      <c r="L18" s="345">
        <f>L17</f>
        <v>62556</v>
      </c>
      <c r="M18" s="345">
        <f>M16+M17</f>
        <v>62556</v>
      </c>
      <c r="N18" s="345">
        <f>N17</f>
        <v>62556</v>
      </c>
      <c r="O18" s="345">
        <v>187668</v>
      </c>
      <c r="P18" s="345">
        <f>P17</f>
        <v>62556</v>
      </c>
      <c r="Q18" s="345">
        <f>Q17</f>
        <v>62556</v>
      </c>
      <c r="R18" s="345">
        <f>S18-P18-Q18</f>
        <v>125112</v>
      </c>
      <c r="S18" s="345">
        <v>250224</v>
      </c>
      <c r="T18" s="345"/>
      <c r="U18" s="329"/>
      <c r="V18" s="329">
        <f t="shared" si="0"/>
        <v>0</v>
      </c>
    </row>
    <row r="19" spans="1:22" ht="22.5">
      <c r="A19" s="594"/>
      <c r="B19" s="322" t="s">
        <v>51</v>
      </c>
      <c r="C19" s="326">
        <v>212</v>
      </c>
      <c r="D19" s="349">
        <v>398.38</v>
      </c>
      <c r="E19" s="349">
        <v>0</v>
      </c>
      <c r="F19" s="349">
        <f aca="true" t="shared" si="3" ref="F19:F25">G19-D19-E19</f>
        <v>742.68</v>
      </c>
      <c r="G19" s="347">
        <v>1141.06</v>
      </c>
      <c r="H19" s="349">
        <v>400</v>
      </c>
      <c r="I19" s="349">
        <v>400</v>
      </c>
      <c r="J19" s="349">
        <v>451.61</v>
      </c>
      <c r="K19" s="347">
        <f>H19+I19+J19</f>
        <v>1251.6100000000001</v>
      </c>
      <c r="L19" s="349">
        <v>698.39</v>
      </c>
      <c r="M19" s="349">
        <v>0</v>
      </c>
      <c r="N19" s="349">
        <v>474.2</v>
      </c>
      <c r="O19" s="347">
        <f>L19+M19+N19</f>
        <v>1172.59</v>
      </c>
      <c r="P19" s="349">
        <v>900</v>
      </c>
      <c r="Q19" s="349">
        <v>900</v>
      </c>
      <c r="R19" s="349">
        <f>S19-P19-Q19</f>
        <v>3034.74</v>
      </c>
      <c r="S19" s="417">
        <v>4834.74</v>
      </c>
      <c r="T19" s="349">
        <f aca="true" t="shared" si="4" ref="T19:T27">S19+O19+K19+G19</f>
        <v>8400</v>
      </c>
      <c r="U19" s="329">
        <f>проверка!C13</f>
        <v>8400</v>
      </c>
      <c r="V19" s="329">
        <f t="shared" si="0"/>
        <v>0</v>
      </c>
    </row>
    <row r="20" spans="1:22" ht="15">
      <c r="A20" s="594"/>
      <c r="B20" s="260" t="s">
        <v>69</v>
      </c>
      <c r="C20" s="326">
        <v>221</v>
      </c>
      <c r="D20" s="349">
        <v>7000</v>
      </c>
      <c r="E20" s="349">
        <v>5000</v>
      </c>
      <c r="F20" s="349">
        <v>3059</v>
      </c>
      <c r="G20" s="347">
        <v>15059</v>
      </c>
      <c r="H20" s="349">
        <v>5000</v>
      </c>
      <c r="I20" s="349">
        <v>5000</v>
      </c>
      <c r="J20" s="349">
        <v>5059</v>
      </c>
      <c r="K20" s="347">
        <f>H20+I20+J20</f>
        <v>15059</v>
      </c>
      <c r="L20" s="349">
        <v>5000</v>
      </c>
      <c r="M20" s="349">
        <v>5000</v>
      </c>
      <c r="N20" s="349">
        <v>5059</v>
      </c>
      <c r="O20" s="347">
        <v>15059</v>
      </c>
      <c r="P20" s="349">
        <v>5000</v>
      </c>
      <c r="Q20" s="349">
        <v>5000</v>
      </c>
      <c r="R20" s="349">
        <f aca="true" t="shared" si="5" ref="R20:R26">S20-P20-Q20</f>
        <v>5058</v>
      </c>
      <c r="S20" s="347">
        <v>15058</v>
      </c>
      <c r="T20" s="349">
        <f t="shared" si="4"/>
        <v>60235</v>
      </c>
      <c r="U20" s="329">
        <f>'свод '!F109</f>
        <v>60235</v>
      </c>
      <c r="V20" s="329">
        <f>U20-T20</f>
        <v>0</v>
      </c>
    </row>
    <row r="21" spans="1:22" ht="15">
      <c r="A21" s="594"/>
      <c r="B21" s="260" t="s">
        <v>136</v>
      </c>
      <c r="C21" s="326">
        <v>223</v>
      </c>
      <c r="D21" s="349">
        <v>430000</v>
      </c>
      <c r="E21" s="349">
        <v>456000</v>
      </c>
      <c r="F21" s="349">
        <f t="shared" si="3"/>
        <v>564684</v>
      </c>
      <c r="G21" s="347">
        <v>1450684</v>
      </c>
      <c r="H21" s="349">
        <v>430000</v>
      </c>
      <c r="I21" s="349">
        <v>502426</v>
      </c>
      <c r="J21" s="349">
        <v>26000</v>
      </c>
      <c r="K21" s="347">
        <f>H21+I21+J21</f>
        <v>958426</v>
      </c>
      <c r="L21" s="349">
        <v>310451</v>
      </c>
      <c r="M21" s="349">
        <v>0</v>
      </c>
      <c r="N21" s="349">
        <v>61876.18</v>
      </c>
      <c r="O21" s="347">
        <f>L21+M21+N21</f>
        <v>372327.18</v>
      </c>
      <c r="P21" s="349">
        <v>204635</v>
      </c>
      <c r="Q21" s="349">
        <v>400000</v>
      </c>
      <c r="R21" s="349">
        <f>S21-P21-Q21</f>
        <v>124427.81999999995</v>
      </c>
      <c r="S21" s="347">
        <v>729062.82</v>
      </c>
      <c r="T21" s="349">
        <f t="shared" si="4"/>
        <v>3510500</v>
      </c>
      <c r="U21" s="329">
        <f>'свод '!F148</f>
        <v>3510500</v>
      </c>
      <c r="V21" s="329">
        <f>U21-T21</f>
        <v>0</v>
      </c>
    </row>
    <row r="22" spans="1:22" ht="15">
      <c r="A22" s="594"/>
      <c r="B22" s="324" t="s">
        <v>140</v>
      </c>
      <c r="C22" s="326">
        <v>225</v>
      </c>
      <c r="D22" s="349">
        <v>37494.78</v>
      </c>
      <c r="E22" s="349">
        <v>35000</v>
      </c>
      <c r="F22" s="349">
        <v>51692.22</v>
      </c>
      <c r="G22" s="347">
        <v>124187</v>
      </c>
      <c r="H22" s="349">
        <v>58956.3</v>
      </c>
      <c r="I22" s="349">
        <v>40250</v>
      </c>
      <c r="J22" s="349">
        <f>K22-H22-I22</f>
        <v>33376.7</v>
      </c>
      <c r="K22" s="347">
        <v>132583</v>
      </c>
      <c r="L22" s="349">
        <v>0</v>
      </c>
      <c r="M22" s="349">
        <v>50000</v>
      </c>
      <c r="N22" s="349">
        <v>151753.08</v>
      </c>
      <c r="O22" s="347">
        <f>L22+M22+N22</f>
        <v>201753.08</v>
      </c>
      <c r="P22" s="349">
        <v>59686.51</v>
      </c>
      <c r="Q22" s="349">
        <v>40000</v>
      </c>
      <c r="R22" s="349">
        <f t="shared" si="5"/>
        <v>80865.41</v>
      </c>
      <c r="S22" s="347">
        <v>180551.92</v>
      </c>
      <c r="T22" s="349">
        <f t="shared" si="4"/>
        <v>639075</v>
      </c>
      <c r="U22" s="329">
        <f>проверка!C17</f>
        <v>639075</v>
      </c>
      <c r="V22" s="329">
        <f>U22-T22</f>
        <v>0</v>
      </c>
    </row>
    <row r="23" spans="1:22" ht="15">
      <c r="A23" s="594"/>
      <c r="B23" s="260" t="s">
        <v>139</v>
      </c>
      <c r="C23" s="326">
        <v>226</v>
      </c>
      <c r="D23" s="349">
        <v>4750.3</v>
      </c>
      <c r="E23" s="349">
        <v>4750.3</v>
      </c>
      <c r="F23" s="349">
        <f t="shared" si="3"/>
        <v>8550.400000000001</v>
      </c>
      <c r="G23" s="347">
        <v>18051</v>
      </c>
      <c r="H23" s="349">
        <v>9296.6</v>
      </c>
      <c r="I23" s="349">
        <v>2827</v>
      </c>
      <c r="J23" s="349">
        <f>K23-H23-I23</f>
        <v>2827.3999999999996</v>
      </c>
      <c r="K23" s="347">
        <v>14951</v>
      </c>
      <c r="L23" s="349">
        <v>825.9</v>
      </c>
      <c r="M23" s="349">
        <v>152000</v>
      </c>
      <c r="N23" s="349">
        <v>99775.1</v>
      </c>
      <c r="O23" s="347">
        <f>L23+M23+N23</f>
        <v>252601</v>
      </c>
      <c r="P23" s="349">
        <v>181</v>
      </c>
      <c r="Q23" s="349">
        <v>4750.3</v>
      </c>
      <c r="R23" s="349">
        <f t="shared" si="5"/>
        <v>10019.7</v>
      </c>
      <c r="S23" s="347">
        <v>14951</v>
      </c>
      <c r="T23" s="349">
        <f t="shared" si="4"/>
        <v>300554</v>
      </c>
      <c r="U23" s="329">
        <f>проверка!C18</f>
        <v>300554</v>
      </c>
      <c r="V23" s="329">
        <f>U23-T23</f>
        <v>0</v>
      </c>
    </row>
    <row r="24" spans="1:22" ht="15.75" customHeight="1">
      <c r="A24" s="594"/>
      <c r="B24" s="372" t="s">
        <v>135</v>
      </c>
      <c r="C24" s="326">
        <v>290</v>
      </c>
      <c r="D24" s="349">
        <v>119920</v>
      </c>
      <c r="E24" s="349">
        <v>106496</v>
      </c>
      <c r="F24" s="349">
        <f t="shared" si="3"/>
        <v>412990</v>
      </c>
      <c r="G24" s="347">
        <v>639406</v>
      </c>
      <c r="H24" s="349">
        <v>539406</v>
      </c>
      <c r="I24" s="349">
        <v>100000</v>
      </c>
      <c r="J24" s="349">
        <v>15948</v>
      </c>
      <c r="K24" s="347">
        <f>H24+I24+J24</f>
        <v>655354</v>
      </c>
      <c r="L24" s="349">
        <v>532006</v>
      </c>
      <c r="M24" s="349">
        <v>110000</v>
      </c>
      <c r="N24" s="349">
        <v>0</v>
      </c>
      <c r="O24" s="347">
        <f>L24+M24+N24</f>
        <v>642006</v>
      </c>
      <c r="P24" s="349">
        <f>545569-13891</f>
        <v>531678</v>
      </c>
      <c r="Q24" s="349">
        <v>107726</v>
      </c>
      <c r="R24" s="349">
        <f t="shared" si="5"/>
        <v>0</v>
      </c>
      <c r="S24" s="347">
        <v>639404</v>
      </c>
      <c r="T24" s="349">
        <f t="shared" si="4"/>
        <v>2576170</v>
      </c>
      <c r="U24" s="437">
        <f>'свод '!F159</f>
        <v>2576170</v>
      </c>
      <c r="V24" s="329">
        <f>U24-T24</f>
        <v>0</v>
      </c>
    </row>
    <row r="25" spans="1:22" ht="15.75" customHeight="1">
      <c r="A25" s="594"/>
      <c r="B25" s="372" t="s">
        <v>371</v>
      </c>
      <c r="C25" s="326">
        <v>290</v>
      </c>
      <c r="D25" s="349"/>
      <c r="E25" s="349"/>
      <c r="F25" s="349">
        <f t="shared" si="3"/>
        <v>0</v>
      </c>
      <c r="G25" s="347"/>
      <c r="H25" s="349"/>
      <c r="I25" s="349"/>
      <c r="J25" s="349">
        <f>K25-H25-I25</f>
        <v>0</v>
      </c>
      <c r="K25" s="347"/>
      <c r="L25" s="349"/>
      <c r="M25" s="349"/>
      <c r="N25" s="349">
        <f>O25-L25-M25</f>
        <v>0</v>
      </c>
      <c r="O25" s="347"/>
      <c r="P25" s="349"/>
      <c r="Q25" s="349"/>
      <c r="R25" s="349">
        <f t="shared" si="5"/>
        <v>0</v>
      </c>
      <c r="S25" s="347"/>
      <c r="T25" s="349">
        <f t="shared" si="4"/>
        <v>0</v>
      </c>
      <c r="U25" s="336"/>
      <c r="V25" s="329"/>
    </row>
    <row r="26" spans="1:22" ht="15">
      <c r="A26" s="594"/>
      <c r="B26" s="325" t="s">
        <v>370</v>
      </c>
      <c r="C26" s="326">
        <v>340</v>
      </c>
      <c r="D26" s="349">
        <v>70443</v>
      </c>
      <c r="E26" s="349"/>
      <c r="F26" s="349">
        <v>0</v>
      </c>
      <c r="G26" s="347">
        <v>70443</v>
      </c>
      <c r="H26" s="349"/>
      <c r="I26" s="349"/>
      <c r="J26" s="349">
        <f>K26-H26-I26</f>
        <v>0</v>
      </c>
      <c r="K26" s="347"/>
      <c r="L26" s="349"/>
      <c r="M26" s="349"/>
      <c r="N26" s="349">
        <f>O26-L26-M26</f>
        <v>319813</v>
      </c>
      <c r="O26" s="347">
        <v>319813</v>
      </c>
      <c r="P26" s="349"/>
      <c r="Q26" s="349"/>
      <c r="R26" s="349">
        <f t="shared" si="5"/>
        <v>264627</v>
      </c>
      <c r="S26" s="347">
        <v>264627</v>
      </c>
      <c r="T26" s="349">
        <f t="shared" si="4"/>
        <v>654883</v>
      </c>
      <c r="U26" s="329">
        <f>проверка!C20</f>
        <v>654883</v>
      </c>
      <c r="V26" s="329">
        <f>U26-T26</f>
        <v>0</v>
      </c>
    </row>
    <row r="27" spans="1:22" ht="15">
      <c r="A27" s="366"/>
      <c r="B27" s="322"/>
      <c r="C27" s="331"/>
      <c r="D27" s="345">
        <f>D19+D20+D21+D22+D23+D24+D25+D26</f>
        <v>670006.46</v>
      </c>
      <c r="E27" s="345">
        <f>E19+E20+E21+E22+E23+E24+E25+E26</f>
        <v>607246.3</v>
      </c>
      <c r="F27" s="345">
        <f>F19+F20+F21+F22+F23+F24+F25+F26</f>
        <v>1041718.3</v>
      </c>
      <c r="G27" s="345">
        <f>D27+E27+F27</f>
        <v>2318971.06</v>
      </c>
      <c r="H27" s="345">
        <f>H19+H20+H21+H22+H23+H24+H25+H26</f>
        <v>1043058.8999999999</v>
      </c>
      <c r="I27" s="345">
        <f>I19+I20+I21+I22+I23+I24+I25+I26</f>
        <v>650903</v>
      </c>
      <c r="J27" s="345">
        <f>J19+J20+J21+J22+J23+J24+J25+J26</f>
        <v>83662.70999999999</v>
      </c>
      <c r="K27" s="345">
        <f>H27+I27+J27</f>
        <v>1777624.6099999999</v>
      </c>
      <c r="L27" s="345">
        <f>L19+L20+L21+L22+L23+L24+L25+L26</f>
        <v>848981.29</v>
      </c>
      <c r="M27" s="345">
        <f>M19+M20+M21+M22+M23+M24+M25+M26</f>
        <v>317000</v>
      </c>
      <c r="N27" s="345">
        <f>N19+N20+N21+N22+N23+N24+N25+N26</f>
        <v>638750.56</v>
      </c>
      <c r="O27" s="345">
        <f>L27+M27+N27</f>
        <v>1804731.85</v>
      </c>
      <c r="P27" s="345">
        <f>P19+P20+P21+P22+P23+P24+P25+P26</f>
        <v>802080.51</v>
      </c>
      <c r="Q27" s="345">
        <f>Q19+Q20+Q21+Q22+Q23+Q24+Q25+Q26</f>
        <v>558376.3</v>
      </c>
      <c r="R27" s="345">
        <f>R19+R20+R21+R22+R23+R24+R25+R26</f>
        <v>488032.6699999999</v>
      </c>
      <c r="S27" s="345">
        <f>P27+Q27+R27</f>
        <v>1848489.48</v>
      </c>
      <c r="T27" s="345">
        <f t="shared" si="4"/>
        <v>7749817</v>
      </c>
      <c r="U27" s="329"/>
      <c r="V27" s="329"/>
    </row>
    <row r="28" spans="1:22" s="339" customFormat="1" ht="14.25">
      <c r="A28" s="367"/>
      <c r="B28" s="368" t="s">
        <v>368</v>
      </c>
      <c r="C28" s="337"/>
      <c r="D28" s="369">
        <f aca="true" t="shared" si="6" ref="D28:S28">D29+D30</f>
        <v>3616844</v>
      </c>
      <c r="E28" s="369">
        <f t="shared" si="6"/>
        <v>3616844</v>
      </c>
      <c r="F28" s="369">
        <f t="shared" si="6"/>
        <v>3627775</v>
      </c>
      <c r="G28" s="369">
        <f t="shared" si="6"/>
        <v>10861463</v>
      </c>
      <c r="H28" s="369">
        <f t="shared" si="6"/>
        <v>3817852</v>
      </c>
      <c r="I28" s="369">
        <f t="shared" si="6"/>
        <v>5110252</v>
      </c>
      <c r="J28" s="369">
        <f>J29+J30</f>
        <v>3417766</v>
      </c>
      <c r="K28" s="369">
        <f t="shared" si="6"/>
        <v>12345870</v>
      </c>
      <c r="L28" s="369">
        <f t="shared" si="6"/>
        <v>2384784</v>
      </c>
      <c r="M28" s="369">
        <f t="shared" si="6"/>
        <v>2725468</v>
      </c>
      <c r="N28" s="369">
        <f t="shared" si="6"/>
        <v>3539742</v>
      </c>
      <c r="O28" s="369">
        <f t="shared" si="6"/>
        <v>8649994</v>
      </c>
      <c r="P28" s="369">
        <f t="shared" si="6"/>
        <v>4287926</v>
      </c>
      <c r="Q28" s="369">
        <f t="shared" si="6"/>
        <v>4327494</v>
      </c>
      <c r="R28" s="369">
        <f t="shared" si="6"/>
        <v>4221314</v>
      </c>
      <c r="S28" s="369">
        <f t="shared" si="6"/>
        <v>12836734</v>
      </c>
      <c r="T28" s="369">
        <f aca="true" t="shared" si="7" ref="T28:T33">G28+K28+O28+S28</f>
        <v>44694061</v>
      </c>
      <c r="U28" s="338"/>
      <c r="V28" s="338"/>
    </row>
    <row r="29" spans="2:22" ht="15">
      <c r="B29" s="326" t="s">
        <v>137</v>
      </c>
      <c r="C29" s="326"/>
      <c r="D29" s="352">
        <f>D5+D7+D10+D11</f>
        <v>2170106.4</v>
      </c>
      <c r="E29" s="352">
        <f>E5+E7+E10+E11</f>
        <v>1900576.25</v>
      </c>
      <c r="F29" s="352">
        <f>F5+F7+F10+F11</f>
        <v>1911507.25</v>
      </c>
      <c r="G29" s="352">
        <f>SUM(D29:F29)</f>
        <v>5982189.9</v>
      </c>
      <c r="H29" s="352">
        <f>H5+H7+H10+H11</f>
        <v>2371114.4</v>
      </c>
      <c r="I29" s="352">
        <f>I5+I7+I10+I11</f>
        <v>2964908.15</v>
      </c>
      <c r="J29" s="352">
        <f>J5+J7+J10+J11</f>
        <v>2055032.2</v>
      </c>
      <c r="K29" s="352">
        <f>SUM(H29:J29)</f>
        <v>7391054.75</v>
      </c>
      <c r="L29" s="352">
        <f>L5+L7+L10+L11</f>
        <v>1573328.2</v>
      </c>
      <c r="M29" s="352">
        <f>M5+M7+M10+M11</f>
        <v>1573329.2</v>
      </c>
      <c r="N29" s="352">
        <f>N5+N7+N10+N11</f>
        <v>2001091.4</v>
      </c>
      <c r="O29" s="352">
        <f aca="true" t="shared" si="8" ref="O29:O35">SUM(L29:N29)</f>
        <v>5147748.8</v>
      </c>
      <c r="P29" s="352">
        <f>P5+P7+P10+P11</f>
        <v>1271245.4499999997</v>
      </c>
      <c r="Q29" s="352">
        <f>Q5+Q7+Q10+Q11</f>
        <v>1446487.4500000002</v>
      </c>
      <c r="R29" s="352">
        <f>R5+R7+R10+R11</f>
        <v>1143237.97</v>
      </c>
      <c r="S29" s="352">
        <f>SUM(P29:R29)</f>
        <v>3860970.87</v>
      </c>
      <c r="T29" s="370">
        <f t="shared" si="7"/>
        <v>22381964.32</v>
      </c>
      <c r="U29" s="329">
        <f>'свод '!F20</f>
        <v>22381964.32</v>
      </c>
      <c r="V29" s="329">
        <f>U29-T29</f>
        <v>0</v>
      </c>
    </row>
    <row r="30" spans="2:22" ht="15.75">
      <c r="B30" s="341" t="s">
        <v>138</v>
      </c>
      <c r="C30" s="326"/>
      <c r="D30" s="352">
        <f>D6+D8</f>
        <v>1446737.6</v>
      </c>
      <c r="E30" s="352">
        <f>E6+E8</f>
        <v>1716267.75</v>
      </c>
      <c r="F30" s="352">
        <f>F6+F8</f>
        <v>1716267.75</v>
      </c>
      <c r="G30" s="352">
        <f>SUM(D30:F30)</f>
        <v>4879273.1</v>
      </c>
      <c r="H30" s="352">
        <f>H6+H8</f>
        <v>1446737.6</v>
      </c>
      <c r="I30" s="352">
        <f>I6+I8</f>
        <v>2145343.85</v>
      </c>
      <c r="J30" s="352">
        <f>J6+J8</f>
        <v>1362733.8</v>
      </c>
      <c r="K30" s="352">
        <f>SUM(H30:J30)</f>
        <v>4954815.25</v>
      </c>
      <c r="L30" s="352">
        <f>L6+L8</f>
        <v>811455.8</v>
      </c>
      <c r="M30" s="352">
        <f>M6+M8</f>
        <v>1152138.8</v>
      </c>
      <c r="N30" s="352">
        <f>N6+N8</f>
        <v>1538650.6</v>
      </c>
      <c r="O30" s="352">
        <f t="shared" si="8"/>
        <v>3502245.2</v>
      </c>
      <c r="P30" s="352">
        <f>P6+P8</f>
        <v>3016680.5500000003</v>
      </c>
      <c r="Q30" s="352">
        <f>Q6+Q8</f>
        <v>2881006.5500000003</v>
      </c>
      <c r="R30" s="352">
        <f>R6+R8</f>
        <v>3078076.03</v>
      </c>
      <c r="S30" s="352">
        <f aca="true" t="shared" si="9" ref="S30:S35">SUM(P30:R30)</f>
        <v>8975763.13</v>
      </c>
      <c r="T30" s="370">
        <f t="shared" si="7"/>
        <v>22312096.68</v>
      </c>
      <c r="U30" s="329">
        <f>'свод '!F39</f>
        <v>22312096.68</v>
      </c>
      <c r="V30" s="329">
        <f>T30-U30</f>
        <v>0</v>
      </c>
    </row>
    <row r="31" spans="2:22" s="339" customFormat="1" ht="15">
      <c r="B31" s="337" t="s">
        <v>369</v>
      </c>
      <c r="C31" s="337"/>
      <c r="D31" s="350">
        <f>D35+D34+D32+D33</f>
        <v>752862.46</v>
      </c>
      <c r="E31" s="350">
        <f>E32+E33+E34+E35</f>
        <v>876941.3</v>
      </c>
      <c r="F31" s="350">
        <f>F32+F33+F34+F35</f>
        <v>1311413.3</v>
      </c>
      <c r="G31" s="350">
        <f>D31+E31+F31</f>
        <v>2941217.06</v>
      </c>
      <c r="H31" s="350">
        <f>H32+H33+H34+H35</f>
        <v>1312753.9</v>
      </c>
      <c r="I31" s="350">
        <f>I32+I33+I34+I35</f>
        <v>945771</v>
      </c>
      <c r="J31" s="350">
        <f>J32+J33+J34+J35</f>
        <v>328184.70999999996</v>
      </c>
      <c r="K31" s="350">
        <f>H31+I31+J31</f>
        <v>2586709.61</v>
      </c>
      <c r="L31" s="350">
        <f>L32+L33+L34+L35</f>
        <v>1118676.29</v>
      </c>
      <c r="M31" s="350">
        <f>M32+M33+M34+M35</f>
        <v>586695</v>
      </c>
      <c r="N31" s="350">
        <f>N32+N33+N34+N35</f>
        <v>908445.56</v>
      </c>
      <c r="O31" s="352">
        <f t="shared" si="8"/>
        <v>2613816.85</v>
      </c>
      <c r="P31" s="350">
        <f>P32+P33+P34+P35</f>
        <v>1071775.51</v>
      </c>
      <c r="Q31" s="350">
        <f>Q32+Q33+Q34+Q35</f>
        <v>828071.3</v>
      </c>
      <c r="R31" s="350">
        <f>R32+R33+R34+R35</f>
        <v>944566.6699999999</v>
      </c>
      <c r="S31" s="352">
        <f t="shared" si="9"/>
        <v>2844413.48</v>
      </c>
      <c r="T31" s="370">
        <f t="shared" si="7"/>
        <v>10986157</v>
      </c>
      <c r="U31" s="338">
        <f>SUM(проверка!C12:C20)</f>
        <v>10986157</v>
      </c>
      <c r="V31" s="329">
        <f>T31-U31</f>
        <v>0</v>
      </c>
    </row>
    <row r="32" spans="2:22" s="339" customFormat="1" ht="15">
      <c r="B32" s="326" t="s">
        <v>137</v>
      </c>
      <c r="C32" s="337"/>
      <c r="D32" s="350">
        <f>D15+D17</f>
        <v>82856</v>
      </c>
      <c r="E32" s="350">
        <f>E15+E17</f>
        <v>269695</v>
      </c>
      <c r="F32" s="350">
        <f>F15+F17</f>
        <v>269695</v>
      </c>
      <c r="G32" s="350">
        <f>D32+E32+F32</f>
        <v>622246</v>
      </c>
      <c r="H32" s="350">
        <f>H15+H17</f>
        <v>269695</v>
      </c>
      <c r="I32" s="350">
        <f>I15+I17</f>
        <v>294868</v>
      </c>
      <c r="J32" s="350">
        <f>J15+J17</f>
        <v>244522</v>
      </c>
      <c r="K32" s="350">
        <f>H32+I32+J32</f>
        <v>809085</v>
      </c>
      <c r="L32" s="350">
        <f>L15+L17</f>
        <v>269695</v>
      </c>
      <c r="M32" s="350">
        <f>M15+M17</f>
        <v>269695</v>
      </c>
      <c r="N32" s="350">
        <f>N15+N17</f>
        <v>269695</v>
      </c>
      <c r="O32" s="352">
        <f t="shared" si="8"/>
        <v>809085</v>
      </c>
      <c r="P32" s="350">
        <f>P15+P17</f>
        <v>269695</v>
      </c>
      <c r="Q32" s="350">
        <f>Q15+Q17</f>
        <v>269695</v>
      </c>
      <c r="R32" s="350">
        <f>R15+R17</f>
        <v>456534</v>
      </c>
      <c r="S32" s="352">
        <f>SUM(P32:R32)</f>
        <v>995924</v>
      </c>
      <c r="T32" s="370">
        <f t="shared" si="7"/>
        <v>3236340</v>
      </c>
      <c r="U32" s="338">
        <f>'свод '!F41+'свод '!F42</f>
        <v>3236340</v>
      </c>
      <c r="V32" s="329">
        <f>T32-U32</f>
        <v>0</v>
      </c>
    </row>
    <row r="33" spans="2:22" s="339" customFormat="1" ht="15">
      <c r="B33" s="326"/>
      <c r="C33" s="337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2">
        <f t="shared" si="8"/>
        <v>0</v>
      </c>
      <c r="P33" s="350"/>
      <c r="Q33" s="350"/>
      <c r="R33" s="350"/>
      <c r="S33" s="352">
        <f t="shared" si="9"/>
        <v>0</v>
      </c>
      <c r="T33" s="370">
        <f t="shared" si="7"/>
        <v>0</v>
      </c>
      <c r="U33" s="338"/>
      <c r="V33" s="329">
        <f>T33-U33</f>
        <v>0</v>
      </c>
    </row>
    <row r="34" spans="2:22" ht="15.75">
      <c r="B34" s="341" t="s">
        <v>138</v>
      </c>
      <c r="C34" s="326"/>
      <c r="D34" s="352">
        <f>D19+D20+D21+D22+D23+D25+D26</f>
        <v>550086.46</v>
      </c>
      <c r="E34" s="352">
        <f>E19+E20+E21+E22+E23+E25+E26</f>
        <v>500750.3</v>
      </c>
      <c r="F34" s="352">
        <f>F19+F20+F21+F22+F23+F25+F26</f>
        <v>628728.3</v>
      </c>
      <c r="G34" s="352">
        <f>SUM(D34:F34)</f>
        <v>1679565.06</v>
      </c>
      <c r="H34" s="352">
        <f>H19+H20+H21+H22+H23+H25+H26</f>
        <v>503652.89999999997</v>
      </c>
      <c r="I34" s="352">
        <f>I19+I20+I21+I22+I23+I25+I26</f>
        <v>550903</v>
      </c>
      <c r="J34" s="352">
        <f>J19+J20+J21+J22+J23+J25+J26</f>
        <v>67714.70999999999</v>
      </c>
      <c r="K34" s="352">
        <f>SUM(H34:J34)</f>
        <v>1122270.6099999999</v>
      </c>
      <c r="L34" s="352">
        <f>L19+L20+L21+L22+L23+L25+L26</f>
        <v>316975.29000000004</v>
      </c>
      <c r="M34" s="352">
        <f>M19+M20+M21+M22+M23+M25+M26</f>
        <v>207000</v>
      </c>
      <c r="N34" s="352">
        <f>N19+N20+N21+N22+N23+N25+N26</f>
        <v>638750.56</v>
      </c>
      <c r="O34" s="352">
        <f t="shared" si="8"/>
        <v>1162725.85</v>
      </c>
      <c r="P34" s="352">
        <f>P19+P20+P21+P22+P23+P25+P26</f>
        <v>270402.51</v>
      </c>
      <c r="Q34" s="352">
        <f>Q19+Q20+Q21+Q22+Q23+Q25+Q26</f>
        <v>450650.3</v>
      </c>
      <c r="R34" s="352">
        <f>R19+R20+R21+R22+R23+R25+R26</f>
        <v>488032.6699999999</v>
      </c>
      <c r="S34" s="352">
        <f>SUM(P34:R34)</f>
        <v>1209085.48</v>
      </c>
      <c r="T34" s="370">
        <f>S34+O34+K34+G34</f>
        <v>5173647</v>
      </c>
      <c r="U34" s="329">
        <f>'свод '!F149-U30-U32</f>
        <v>5173647</v>
      </c>
      <c r="V34" s="329">
        <f>U34-T34</f>
        <v>0</v>
      </c>
    </row>
    <row r="35" spans="2:22" ht="15">
      <c r="B35" s="326" t="s">
        <v>134</v>
      </c>
      <c r="C35" s="326"/>
      <c r="D35" s="352">
        <f>D24</f>
        <v>119920</v>
      </c>
      <c r="E35" s="352">
        <f>E24</f>
        <v>106496</v>
      </c>
      <c r="F35" s="352">
        <f>F24</f>
        <v>412990</v>
      </c>
      <c r="G35" s="352">
        <f>SUM(D35:F35)</f>
        <v>639406</v>
      </c>
      <c r="H35" s="352">
        <f>H24</f>
        <v>539406</v>
      </c>
      <c r="I35" s="352">
        <f>I24</f>
        <v>100000</v>
      </c>
      <c r="J35" s="352">
        <f>J24</f>
        <v>15948</v>
      </c>
      <c r="K35" s="352">
        <f>SUM(H35:J35)</f>
        <v>655354</v>
      </c>
      <c r="L35" s="352">
        <f>L24</f>
        <v>532006</v>
      </c>
      <c r="M35" s="352">
        <f>M24</f>
        <v>110000</v>
      </c>
      <c r="N35" s="352">
        <f>N24</f>
        <v>0</v>
      </c>
      <c r="O35" s="352">
        <f t="shared" si="8"/>
        <v>642006</v>
      </c>
      <c r="P35" s="352">
        <f>P24</f>
        <v>531678</v>
      </c>
      <c r="Q35" s="352">
        <f>Q24</f>
        <v>107726</v>
      </c>
      <c r="R35" s="352">
        <f>R24</f>
        <v>0</v>
      </c>
      <c r="S35" s="352">
        <f t="shared" si="9"/>
        <v>639404</v>
      </c>
      <c r="T35" s="370">
        <f>S35+O35+K35+G35</f>
        <v>2576170</v>
      </c>
      <c r="U35" s="329">
        <f>'свод '!F159</f>
        <v>2576170</v>
      </c>
      <c r="V35" s="329">
        <f>U35-T35</f>
        <v>0</v>
      </c>
    </row>
    <row r="36" spans="2:22" s="343" customFormat="1" ht="15.75">
      <c r="B36" s="341" t="s">
        <v>133</v>
      </c>
      <c r="C36" s="341"/>
      <c r="D36" s="353">
        <f>D35+D29+D34+D30+D32</f>
        <v>4369706.46</v>
      </c>
      <c r="E36" s="353">
        <f>E35+E29+E34+E30+E32</f>
        <v>4493785.3</v>
      </c>
      <c r="F36" s="353">
        <f>F35+F29+F34+F30+F32</f>
        <v>4939188.3</v>
      </c>
      <c r="G36" s="353">
        <f>D36+E36+F36</f>
        <v>13802680.059999999</v>
      </c>
      <c r="H36" s="353">
        <f>H35+H29+H34+H30+H32</f>
        <v>5130605.9</v>
      </c>
      <c r="I36" s="353">
        <f>I35+I29+I34+I30+I32</f>
        <v>6056023</v>
      </c>
      <c r="J36" s="353">
        <f>J35+J29+J34+J30+J32</f>
        <v>3745950.71</v>
      </c>
      <c r="K36" s="353">
        <f>H36+I36+J36</f>
        <v>14932579.61</v>
      </c>
      <c r="L36" s="353">
        <f>L35+L29+L34+L30+L32</f>
        <v>3503460.29</v>
      </c>
      <c r="M36" s="353">
        <f>M35+M29+M34+M30+M32+M33</f>
        <v>3312163</v>
      </c>
      <c r="N36" s="353">
        <f>N35+N29+N34+N30+N32</f>
        <v>4448187.5600000005</v>
      </c>
      <c r="O36" s="353">
        <f>L36+M36+N36</f>
        <v>11263810.850000001</v>
      </c>
      <c r="P36" s="353">
        <f>P35+P29+P34+P30+P32</f>
        <v>5359701.51</v>
      </c>
      <c r="Q36" s="353">
        <f>Q35+Q29+Q34+Q30+Q32</f>
        <v>5155565.300000001</v>
      </c>
      <c r="R36" s="353">
        <f>R35+R29+R34+R30+R32</f>
        <v>5165880.67</v>
      </c>
      <c r="S36" s="353">
        <f>P36+Q36+R36</f>
        <v>15681147.48</v>
      </c>
      <c r="T36" s="371">
        <f>S36+O36+K36+G36</f>
        <v>55680218</v>
      </c>
      <c r="U36" s="342">
        <f>'свод '!F160</f>
        <v>55680218</v>
      </c>
      <c r="V36" s="329">
        <f>U36-T36</f>
        <v>0</v>
      </c>
    </row>
    <row r="39" spans="7:20" ht="15">
      <c r="G39" s="329">
        <f>G36-G38</f>
        <v>13802680.059999999</v>
      </c>
      <c r="K39" s="329">
        <f>K36-K38</f>
        <v>14932579.61</v>
      </c>
      <c r="O39" s="329">
        <f>O36-O38</f>
        <v>11263810.850000001</v>
      </c>
      <c r="S39" s="329">
        <f>S36-S38</f>
        <v>15681147.48</v>
      </c>
      <c r="T39" s="273">
        <v>55680218</v>
      </c>
    </row>
    <row r="40" spans="4:19" ht="15"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</row>
    <row r="41" spans="3:20" ht="15">
      <c r="C41" s="344"/>
      <c r="G41" s="273">
        <v>13802680.06</v>
      </c>
      <c r="K41" s="273">
        <v>14932579.61</v>
      </c>
      <c r="O41" s="273">
        <v>11263810.85</v>
      </c>
      <c r="S41" s="273">
        <v>15681147.48</v>
      </c>
      <c r="T41" s="273">
        <f>S41+O41+K41+G41</f>
        <v>55680218</v>
      </c>
    </row>
    <row r="42" spans="2:20" ht="15">
      <c r="B42" s="344"/>
      <c r="G42" s="273" t="b">
        <f>G39=G41</f>
        <v>1</v>
      </c>
      <c r="I42" s="591"/>
      <c r="J42" s="591"/>
      <c r="K42" s="273" t="b">
        <f>K39=K41</f>
        <v>1</v>
      </c>
      <c r="O42" s="273" t="b">
        <f>O39=O41</f>
        <v>1</v>
      </c>
      <c r="S42" s="273" t="b">
        <f>S39=S41</f>
        <v>1</v>
      </c>
      <c r="T42" s="273" t="b">
        <f>T39=T41</f>
        <v>1</v>
      </c>
    </row>
    <row r="44" spans="2:10" ht="15">
      <c r="B44" s="273" t="s">
        <v>105</v>
      </c>
      <c r="D44" s="273" t="s">
        <v>398</v>
      </c>
      <c r="I44" s="591"/>
      <c r="J44" s="591"/>
    </row>
  </sheetData>
  <sheetProtection/>
  <mergeCells count="7">
    <mergeCell ref="B1:T1"/>
    <mergeCell ref="C2:C3"/>
    <mergeCell ref="D2:S2"/>
    <mergeCell ref="I42:J42"/>
    <mergeCell ref="I44:J44"/>
    <mergeCell ref="A4:A12"/>
    <mergeCell ref="A16:A26"/>
  </mergeCells>
  <printOptions/>
  <pageMargins left="0.5905511811023623" right="0" top="1.1811023622047245" bottom="0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77"/>
  <sheetViews>
    <sheetView view="pageBreakPreview" zoomScale="75" zoomScaleSheetLayoutView="75" zoomScalePageLayoutView="0" workbookViewId="0" topLeftCell="A49">
      <selection activeCell="B55" sqref="B55:H55"/>
    </sheetView>
  </sheetViews>
  <sheetFormatPr defaultColWidth="9.00390625" defaultRowHeight="12.75"/>
  <cols>
    <col min="1" max="1" width="2.00390625" style="0" bestFit="1" customWidth="1"/>
    <col min="2" max="2" width="15.625" style="0" customWidth="1"/>
    <col min="3" max="3" width="15.25390625" style="2" customWidth="1"/>
    <col min="4" max="4" width="14.75390625" style="2" customWidth="1"/>
    <col min="5" max="5" width="12.75390625" style="2" customWidth="1"/>
    <col min="6" max="6" width="11.75390625" style="2" customWidth="1"/>
    <col min="7" max="7" width="12.125" style="2" customWidth="1"/>
    <col min="8" max="8" width="12.00390625" style="2" customWidth="1"/>
    <col min="9" max="9" width="12.875" style="2" customWidth="1"/>
    <col min="10" max="10" width="10.75390625" style="2" customWidth="1"/>
    <col min="11" max="11" width="18.25390625" style="2" bestFit="1" customWidth="1"/>
    <col min="12" max="12" width="10.00390625" style="2" customWidth="1"/>
    <col min="13" max="13" width="12.375" style="0" bestFit="1" customWidth="1"/>
    <col min="14" max="14" width="12.25390625" style="0" customWidth="1"/>
    <col min="15" max="15" width="12.125" style="0" customWidth="1"/>
  </cols>
  <sheetData>
    <row r="1" spans="8:9" ht="12.75">
      <c r="H1" s="597" t="s">
        <v>97</v>
      </c>
      <c r="I1" s="597"/>
    </row>
    <row r="2" spans="3:12" s="5" customFormat="1" ht="35.25" customHeight="1">
      <c r="C2" s="598" t="s">
        <v>4</v>
      </c>
      <c r="D2" s="598"/>
      <c r="E2" s="598"/>
      <c r="F2" s="598"/>
      <c r="G2" s="598"/>
      <c r="H2" s="598"/>
      <c r="I2" s="598"/>
      <c r="J2" s="4"/>
      <c r="K2" s="4"/>
      <c r="L2" s="4"/>
    </row>
    <row r="3" spans="3:12" s="8" customFormat="1" ht="20.25" customHeight="1">
      <c r="C3" s="6"/>
      <c r="D3" s="6"/>
      <c r="E3" s="6"/>
      <c r="F3" s="6"/>
      <c r="G3" s="6"/>
      <c r="H3" s="599"/>
      <c r="I3" s="599"/>
      <c r="J3" s="7"/>
      <c r="K3" s="7"/>
      <c r="L3" s="7"/>
    </row>
    <row r="4" spans="3:12" s="8" customFormat="1" ht="47.25" customHeight="1" thickBot="1">
      <c r="C4" s="600" t="s">
        <v>400</v>
      </c>
      <c r="D4" s="600"/>
      <c r="E4" s="600"/>
      <c r="F4" s="600"/>
      <c r="G4" s="600"/>
      <c r="H4" s="600"/>
      <c r="I4" s="600"/>
      <c r="J4" s="7"/>
      <c r="K4" s="7"/>
      <c r="L4" s="7"/>
    </row>
    <row r="5" spans="2:22" s="8" customFormat="1" ht="38.25">
      <c r="B5" s="294" t="s">
        <v>336</v>
      </c>
      <c r="C5" s="43" t="s">
        <v>337</v>
      </c>
      <c r="D5" s="43" t="s">
        <v>338</v>
      </c>
      <c r="E5" s="43" t="s">
        <v>0</v>
      </c>
      <c r="F5" s="43" t="s">
        <v>1</v>
      </c>
      <c r="G5" s="43" t="s">
        <v>2</v>
      </c>
      <c r="H5" s="44" t="s">
        <v>3</v>
      </c>
      <c r="I5" s="7"/>
      <c r="J5" s="7"/>
      <c r="T5" s="397"/>
      <c r="U5" s="397"/>
      <c r="V5" s="397"/>
    </row>
    <row r="6" spans="2:22" s="8" customFormat="1" ht="12.75">
      <c r="B6" s="433">
        <f>M10</f>
        <v>68</v>
      </c>
      <c r="C6" s="409">
        <f>P10</f>
        <v>12715.73</v>
      </c>
      <c r="D6" s="409">
        <f>Q10</f>
        <v>1.6882017588897655</v>
      </c>
      <c r="E6" s="409">
        <v>4</v>
      </c>
      <c r="F6" s="409">
        <v>1</v>
      </c>
      <c r="G6" s="295">
        <f>ROUND((B6*C6*D6*E6*F6),2)</f>
        <v>5838947.23</v>
      </c>
      <c r="H6" s="296">
        <f>ROUND(G6*30.2%,2)</f>
        <v>1763362.06</v>
      </c>
      <c r="I6" s="7"/>
      <c r="J6" s="7"/>
      <c r="T6" s="397"/>
      <c r="U6" s="397"/>
      <c r="V6" s="397"/>
    </row>
    <row r="7" spans="2:22" s="8" customFormat="1" ht="42" customHeight="1">
      <c r="B7" s="9">
        <f>M18</f>
        <v>68</v>
      </c>
      <c r="C7" s="9">
        <f>P18</f>
        <v>12715.73</v>
      </c>
      <c r="D7" s="9">
        <f>Q18</f>
        <v>1.5213206190930957</v>
      </c>
      <c r="E7" s="9">
        <v>4</v>
      </c>
      <c r="F7" s="9">
        <v>1</v>
      </c>
      <c r="G7" s="295">
        <f>ROUND((B7*C7*D7*E7*F7),2)</f>
        <v>5261759.01</v>
      </c>
      <c r="H7" s="296">
        <f>ROUND(G7*30.2%,2)</f>
        <v>1589051.22</v>
      </c>
      <c r="I7" s="7"/>
      <c r="J7" s="7" t="s">
        <v>406</v>
      </c>
      <c r="T7" s="397"/>
      <c r="U7" s="397"/>
      <c r="V7" s="397"/>
    </row>
    <row r="8" spans="2:22" s="8" customFormat="1" ht="19.5" customHeight="1">
      <c r="B8" s="9">
        <f>M14</f>
        <v>68</v>
      </c>
      <c r="C8" s="9">
        <f>P14</f>
        <v>17627.2</v>
      </c>
      <c r="D8" s="9">
        <f>Q14</f>
        <v>1.1889448114556393</v>
      </c>
      <c r="E8" s="9">
        <v>1</v>
      </c>
      <c r="F8" s="9">
        <v>1</v>
      </c>
      <c r="G8" s="295">
        <f>ROUND((B8*C8*D8*E8*F8),2)</f>
        <v>1425128.22</v>
      </c>
      <c r="H8" s="296">
        <f>ROUND(G8*30.2%,2)</f>
        <v>430388.72</v>
      </c>
      <c r="I8" s="7"/>
      <c r="J8" s="308"/>
      <c r="K8" s="9"/>
      <c r="L8" s="308" t="s">
        <v>343</v>
      </c>
      <c r="M8" s="308" t="s">
        <v>347</v>
      </c>
      <c r="N8" s="308" t="s">
        <v>344</v>
      </c>
      <c r="O8" s="308" t="s">
        <v>345</v>
      </c>
      <c r="P8" s="308"/>
      <c r="Q8" s="308"/>
      <c r="T8" s="397"/>
      <c r="U8" s="397"/>
      <c r="V8" s="397"/>
    </row>
    <row r="9" spans="2:22" s="8" customFormat="1" ht="18" customHeight="1" thickBot="1">
      <c r="B9" s="297">
        <f>M22</f>
        <v>68</v>
      </c>
      <c r="C9" s="298">
        <f>P22</f>
        <v>17627.2</v>
      </c>
      <c r="D9" s="297">
        <f>Q22</f>
        <v>1.2245703306024043</v>
      </c>
      <c r="E9" s="48">
        <v>3</v>
      </c>
      <c r="F9" s="48">
        <v>1</v>
      </c>
      <c r="G9" s="295">
        <f>ROUND((B9*C9*D9*E9*F9),2)</f>
        <v>4403492.21</v>
      </c>
      <c r="H9" s="296">
        <f>ROUND(G9*30.2%,2)</f>
        <v>1329854.65</v>
      </c>
      <c r="I9" s="7"/>
      <c r="J9" s="308">
        <v>1</v>
      </c>
      <c r="K9" s="9" t="s">
        <v>77</v>
      </c>
      <c r="L9" s="356">
        <v>2777914</v>
      </c>
      <c r="M9" s="356">
        <v>163.25</v>
      </c>
      <c r="N9" s="308">
        <f>L9-O9</f>
        <v>1614486.43</v>
      </c>
      <c r="O9" s="356">
        <v>1163427.57</v>
      </c>
      <c r="P9" s="308"/>
      <c r="Q9" s="308"/>
      <c r="T9" s="397"/>
      <c r="U9" s="397"/>
      <c r="V9" s="397"/>
    </row>
    <row r="10" spans="2:22" s="8" customFormat="1" ht="13.5" thickBot="1">
      <c r="B10" s="7"/>
      <c r="C10" s="7"/>
      <c r="D10" s="7"/>
      <c r="E10" s="7"/>
      <c r="F10" s="7"/>
      <c r="G10" s="301">
        <f>SUM(G6:G9)</f>
        <v>16929326.67</v>
      </c>
      <c r="H10" s="302">
        <f>SUM(H6:H9)</f>
        <v>5112656.65</v>
      </c>
      <c r="I10" s="7"/>
      <c r="J10" s="308"/>
      <c r="K10" s="308" t="s">
        <v>346</v>
      </c>
      <c r="L10" s="308">
        <f>O10+N10</f>
        <v>1459736.25</v>
      </c>
      <c r="M10" s="356">
        <v>68</v>
      </c>
      <c r="N10" s="356">
        <v>864669.31</v>
      </c>
      <c r="O10" s="356">
        <v>595066.94</v>
      </c>
      <c r="P10" s="308">
        <f>ROUND(N10/M10,2)</f>
        <v>12715.73</v>
      </c>
      <c r="Q10" s="308">
        <f>O10/N10+1</f>
        <v>1.6882017588897655</v>
      </c>
      <c r="T10" s="397"/>
      <c r="U10" s="397"/>
      <c r="V10" s="397"/>
    </row>
    <row r="11" spans="3:22" s="8" customFormat="1" ht="12.75">
      <c r="C11" s="7"/>
      <c r="D11" s="7"/>
      <c r="E11" s="7"/>
      <c r="F11" s="7"/>
      <c r="G11" s="7"/>
      <c r="H11" s="154"/>
      <c r="I11" s="7"/>
      <c r="J11" s="308"/>
      <c r="K11" s="308" t="s">
        <v>129</v>
      </c>
      <c r="L11" s="308">
        <f>L9-L10</f>
        <v>1318177.75</v>
      </c>
      <c r="M11" s="308">
        <f>M9-M10</f>
        <v>95.25</v>
      </c>
      <c r="N11" s="308">
        <f>N9-N10</f>
        <v>749817.1199999999</v>
      </c>
      <c r="O11" s="308">
        <f>O9-O10</f>
        <v>568360.6300000001</v>
      </c>
      <c r="P11" s="308">
        <f>ROUND(N11/M11,2)</f>
        <v>7872.1</v>
      </c>
      <c r="Q11" s="308">
        <f>O11/N11+1</f>
        <v>1.7579990038104227</v>
      </c>
      <c r="T11" s="397"/>
      <c r="U11" s="397"/>
      <c r="V11" s="397"/>
    </row>
    <row r="12" spans="3:22" s="8" customFormat="1" ht="13.5" thickBot="1">
      <c r="C12" s="7"/>
      <c r="D12" s="7"/>
      <c r="E12" s="7"/>
      <c r="F12" s="7"/>
      <c r="G12" s="7"/>
      <c r="H12" s="7"/>
      <c r="I12" s="7"/>
      <c r="J12" s="9"/>
      <c r="K12" s="308"/>
      <c r="L12" s="308"/>
      <c r="M12" s="308"/>
      <c r="N12" s="308"/>
      <c r="O12" s="308"/>
      <c r="P12" s="308"/>
      <c r="Q12" s="308"/>
      <c r="T12" s="397"/>
      <c r="U12" s="397"/>
      <c r="V12" s="397"/>
    </row>
    <row r="13" spans="2:22" s="8" customFormat="1" ht="102" thickBot="1">
      <c r="B13" s="377"/>
      <c r="C13" s="50" t="s">
        <v>48</v>
      </c>
      <c r="D13" s="43" t="s">
        <v>49</v>
      </c>
      <c r="E13" s="43"/>
      <c r="F13" s="51" t="s">
        <v>50</v>
      </c>
      <c r="G13" s="7"/>
      <c r="H13" s="7"/>
      <c r="I13" s="154"/>
      <c r="J13" s="9">
        <v>2</v>
      </c>
      <c r="K13" s="9" t="s">
        <v>77</v>
      </c>
      <c r="L13" s="356">
        <v>2761458</v>
      </c>
      <c r="M13" s="356">
        <v>163.25</v>
      </c>
      <c r="N13" s="308">
        <f>L13-O13</f>
        <v>2036488.1400000001</v>
      </c>
      <c r="O13" s="356">
        <v>724969.86</v>
      </c>
      <c r="P13" s="308"/>
      <c r="Q13" s="308"/>
      <c r="T13" s="397"/>
      <c r="U13" s="397"/>
      <c r="V13" s="397"/>
    </row>
    <row r="14" spans="2:22" s="8" customFormat="1" ht="12.75">
      <c r="B14" s="378" t="s">
        <v>372</v>
      </c>
      <c r="C14" s="45">
        <f>F14/D14</f>
        <v>335.3580786026201</v>
      </c>
      <c r="D14" s="9">
        <f>'свод '!D6</f>
        <v>916</v>
      </c>
      <c r="E14" s="9"/>
      <c r="F14" s="296">
        <f>проверка!B10</f>
        <v>307188</v>
      </c>
      <c r="G14" s="7"/>
      <c r="H14" s="7"/>
      <c r="I14" s="154"/>
      <c r="J14" s="295"/>
      <c r="K14" s="308" t="s">
        <v>346</v>
      </c>
      <c r="L14" s="308">
        <f>O14+N14</f>
        <v>1425128.08</v>
      </c>
      <c r="M14" s="356">
        <v>68</v>
      </c>
      <c r="N14" s="356">
        <v>1198649.48</v>
      </c>
      <c r="O14" s="356">
        <v>226478.6</v>
      </c>
      <c r="P14" s="308">
        <f>ROUND(N14/M14,2)</f>
        <v>17627.2</v>
      </c>
      <c r="Q14" s="308">
        <f>O14/N14+1</f>
        <v>1.1889448114556393</v>
      </c>
      <c r="T14" s="397"/>
      <c r="U14" s="397"/>
      <c r="V14" s="397"/>
    </row>
    <row r="15" spans="2:22" s="8" customFormat="1" ht="51.75" thickBot="1">
      <c r="B15" s="47" t="s">
        <v>377</v>
      </c>
      <c r="C15" s="376">
        <f>ROUND(F15/D15,2)</f>
        <v>37.35</v>
      </c>
      <c r="D15" s="9">
        <v>878</v>
      </c>
      <c r="E15" s="48"/>
      <c r="F15" s="300">
        <f>проверка!B9</f>
        <v>32793</v>
      </c>
      <c r="G15" s="7"/>
      <c r="H15" s="7"/>
      <c r="I15" s="7"/>
      <c r="J15" s="9"/>
      <c r="K15" s="308" t="s">
        <v>129</v>
      </c>
      <c r="L15" s="308">
        <f>L13-L14</f>
        <v>1336329.92</v>
      </c>
      <c r="M15" s="308">
        <f>M13-M14</f>
        <v>95.25</v>
      </c>
      <c r="N15" s="308">
        <f>N13-N14</f>
        <v>837838.6600000001</v>
      </c>
      <c r="O15" s="308">
        <f>O13-O14</f>
        <v>498491.26</v>
      </c>
      <c r="P15" s="308">
        <f>ROUND(N15/M15,2)</f>
        <v>8796.21</v>
      </c>
      <c r="Q15" s="308">
        <f>O15/N15+1</f>
        <v>1.5949728555137335</v>
      </c>
      <c r="T15" s="397"/>
      <c r="U15" s="397"/>
      <c r="V15" s="397"/>
    </row>
    <row r="16" spans="3:22" s="8" customFormat="1" ht="12.75">
      <c r="C16" s="7"/>
      <c r="D16" s="7"/>
      <c r="E16" s="7"/>
      <c r="F16" s="7"/>
      <c r="G16" s="7"/>
      <c r="H16" s="7"/>
      <c r="I16" s="7"/>
      <c r="J16" s="9"/>
      <c r="K16" s="9"/>
      <c r="L16" s="9"/>
      <c r="M16" s="308"/>
      <c r="N16" s="308"/>
      <c r="O16" s="308"/>
      <c r="P16" s="308"/>
      <c r="Q16" s="308"/>
      <c r="T16" s="397"/>
      <c r="U16" s="397"/>
      <c r="V16" s="397"/>
    </row>
    <row r="17" spans="3:22" s="8" customFormat="1" ht="12.75">
      <c r="C17" s="7"/>
      <c r="D17" s="7"/>
      <c r="E17" s="7"/>
      <c r="F17" s="7"/>
      <c r="G17" s="7"/>
      <c r="H17" s="7"/>
      <c r="I17" s="7"/>
      <c r="J17" s="9">
        <v>3</v>
      </c>
      <c r="K17" s="9" t="s">
        <v>77</v>
      </c>
      <c r="L17" s="356">
        <v>2616617</v>
      </c>
      <c r="M17" s="356">
        <v>163.25</v>
      </c>
      <c r="N17" s="308">
        <f>L17-O17</f>
        <v>1630790.35</v>
      </c>
      <c r="O17" s="356">
        <v>985826.65</v>
      </c>
      <c r="P17" s="308"/>
      <c r="Q17" s="308"/>
      <c r="T17" s="397"/>
      <c r="U17" s="397"/>
      <c r="V17" s="397"/>
    </row>
    <row r="18" spans="8:22" s="8" customFormat="1" ht="12.75">
      <c r="H18" s="7"/>
      <c r="I18" s="7"/>
      <c r="J18" s="9"/>
      <c r="K18" s="308" t="s">
        <v>346</v>
      </c>
      <c r="L18" s="308">
        <f>O18+N18</f>
        <v>1315439.25</v>
      </c>
      <c r="M18" s="356">
        <v>68</v>
      </c>
      <c r="N18" s="356">
        <v>864669.31</v>
      </c>
      <c r="O18" s="356">
        <v>450769.94</v>
      </c>
      <c r="P18" s="308">
        <f>ROUND(N18/M18,2)</f>
        <v>12715.73</v>
      </c>
      <c r="Q18" s="308">
        <f>O18/N18+1</f>
        <v>1.5213206190930957</v>
      </c>
      <c r="T18" s="397"/>
      <c r="U18" s="397"/>
      <c r="V18" s="397"/>
    </row>
    <row r="19" spans="2:22" s="8" customFormat="1" ht="12.75">
      <c r="B19" s="15"/>
      <c r="H19" s="15"/>
      <c r="I19" s="7"/>
      <c r="J19" s="9"/>
      <c r="K19" s="308" t="s">
        <v>129</v>
      </c>
      <c r="L19" s="308">
        <f>L17-L18</f>
        <v>1301177.75</v>
      </c>
      <c r="M19" s="308">
        <f>M17-M18</f>
        <v>95.25</v>
      </c>
      <c r="N19" s="308">
        <f>N17-N18</f>
        <v>766121.04</v>
      </c>
      <c r="O19" s="308">
        <f>O17-O18</f>
        <v>535056.71</v>
      </c>
      <c r="P19" s="308">
        <f>ROUND(N19/M19,2)</f>
        <v>8043.27</v>
      </c>
      <c r="Q19" s="308">
        <f>O19/N19+1</f>
        <v>1.6983970966258803</v>
      </c>
      <c r="T19" s="398"/>
      <c r="U19" s="397"/>
      <c r="V19" s="398"/>
    </row>
    <row r="20" spans="2:22" s="8" customFormat="1" ht="12.75">
      <c r="B20" s="15"/>
      <c r="H20" s="15"/>
      <c r="I20" s="7"/>
      <c r="J20" s="9"/>
      <c r="K20" s="9"/>
      <c r="L20" s="9"/>
      <c r="M20" s="308"/>
      <c r="N20" s="308"/>
      <c r="O20" s="308"/>
      <c r="P20" s="308"/>
      <c r="Q20" s="308"/>
      <c r="T20" s="397"/>
      <c r="U20" s="397"/>
      <c r="V20" s="397"/>
    </row>
    <row r="21" spans="2:22" s="8" customFormat="1" ht="12.75">
      <c r="B21" s="15"/>
      <c r="H21" s="15"/>
      <c r="I21" s="7"/>
      <c r="J21" s="9">
        <v>4</v>
      </c>
      <c r="K21" s="9" t="s">
        <v>77</v>
      </c>
      <c r="L21" s="356">
        <v>3242177</v>
      </c>
      <c r="M21" s="356">
        <v>163.25</v>
      </c>
      <c r="N21" s="308">
        <f>L21-O21</f>
        <v>2036488.14</v>
      </c>
      <c r="O21" s="356">
        <v>1205688.86</v>
      </c>
      <c r="P21" s="308"/>
      <c r="Q21" s="308"/>
      <c r="T21" s="398"/>
      <c r="U21" s="397"/>
      <c r="V21" s="398"/>
    </row>
    <row r="22" spans="9:84" s="15" customFormat="1" ht="12.75">
      <c r="I22" s="40"/>
      <c r="J22" s="309"/>
      <c r="K22" s="308" t="s">
        <v>346</v>
      </c>
      <c r="L22" s="308">
        <f>O22+N22</f>
        <v>1467830.5899999999</v>
      </c>
      <c r="M22" s="356">
        <v>68</v>
      </c>
      <c r="N22" s="356">
        <v>1198649.48</v>
      </c>
      <c r="O22" s="356">
        <v>269181.11</v>
      </c>
      <c r="P22" s="308">
        <f>ROUND(N22/M22,2)</f>
        <v>17627.2</v>
      </c>
      <c r="Q22" s="308">
        <f>O22/N22+1</f>
        <v>1.2245703306024043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2:84" s="15" customFormat="1" ht="45.75" customHeight="1">
      <c r="B23" s="600" t="s">
        <v>401</v>
      </c>
      <c r="C23" s="600"/>
      <c r="D23" s="600"/>
      <c r="E23" s="600"/>
      <c r="F23" s="600"/>
      <c r="G23" s="600"/>
      <c r="H23" s="600"/>
      <c r="I23" s="40"/>
      <c r="J23" s="309"/>
      <c r="K23" s="308" t="s">
        <v>129</v>
      </c>
      <c r="L23" s="308">
        <f>L21-L22</f>
        <v>1774346.4100000001</v>
      </c>
      <c r="M23" s="308">
        <f>M21-M22</f>
        <v>95.25</v>
      </c>
      <c r="N23" s="308">
        <f>N21-N22</f>
        <v>837838.6599999999</v>
      </c>
      <c r="O23" s="308">
        <f>O21-O22</f>
        <v>936507.7500000001</v>
      </c>
      <c r="P23" s="308">
        <f>ROUND(N23/M23,2)</f>
        <v>8796.21</v>
      </c>
      <c r="Q23" s="308">
        <f>O23/N23+1</f>
        <v>2.117766217662957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2:84" s="15" customFormat="1" ht="13.5" thickBot="1">
      <c r="B24"/>
      <c r="C24" s="2"/>
      <c r="D24" s="2"/>
      <c r="E24" s="2"/>
      <c r="F24" s="2"/>
      <c r="G24" s="2"/>
      <c r="H24" s="2"/>
      <c r="I24" s="40"/>
      <c r="J24" s="40" t="s">
        <v>405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2:84" s="15" customFormat="1" ht="38.25">
      <c r="B25" s="294" t="s">
        <v>336</v>
      </c>
      <c r="C25" s="43" t="s">
        <v>337</v>
      </c>
      <c r="D25" s="43" t="s">
        <v>338</v>
      </c>
      <c r="E25" s="43" t="s">
        <v>0</v>
      </c>
      <c r="F25" s="43" t="s">
        <v>1</v>
      </c>
      <c r="G25" s="43" t="s">
        <v>2</v>
      </c>
      <c r="H25" s="44" t="s">
        <v>3</v>
      </c>
      <c r="I25" s="40"/>
      <c r="J25" s="9">
        <v>1</v>
      </c>
      <c r="K25" s="9" t="s">
        <v>77</v>
      </c>
      <c r="L25" s="356">
        <v>207139</v>
      </c>
      <c r="M25" s="356">
        <v>31.9</v>
      </c>
      <c r="N25" s="308">
        <f>L25-O25</f>
        <v>190835.08</v>
      </c>
      <c r="O25" s="356">
        <v>16303.92</v>
      </c>
      <c r="P25" s="308"/>
      <c r="Q25" s="308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2:84" s="15" customFormat="1" ht="12.75">
      <c r="B26" s="9">
        <f>M26</f>
        <v>0</v>
      </c>
      <c r="C26" s="9" t="e">
        <f>P26</f>
        <v>#DIV/0!</v>
      </c>
      <c r="D26" s="9" t="e">
        <f>Q26</f>
        <v>#DIV/0!</v>
      </c>
      <c r="E26" s="9">
        <v>1</v>
      </c>
      <c r="F26" s="9">
        <v>1</v>
      </c>
      <c r="G26" s="295" t="e">
        <f>ROUND((B26*C26*D26*E26*F26),2)</f>
        <v>#DIV/0!</v>
      </c>
      <c r="H26" s="296" t="e">
        <f>ROUND(G26*30.2%,2)</f>
        <v>#DIV/0!</v>
      </c>
      <c r="I26" s="40"/>
      <c r="J26" s="309"/>
      <c r="K26" s="308" t="s">
        <v>346</v>
      </c>
      <c r="L26" s="308">
        <f>O26+N26</f>
        <v>0</v>
      </c>
      <c r="M26" s="356"/>
      <c r="N26" s="356"/>
      <c r="O26" s="356"/>
      <c r="P26" s="308" t="e">
        <f>ROUND(N26/M26,2)</f>
        <v>#DIV/0!</v>
      </c>
      <c r="Q26" s="308" t="e">
        <f>O26/N26+1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</row>
    <row r="27" spans="2:17" ht="12.75">
      <c r="B27" s="9">
        <f>M26</f>
        <v>0</v>
      </c>
      <c r="C27" s="9" t="e">
        <f>P29</f>
        <v>#DIV/0!</v>
      </c>
      <c r="D27" s="9" t="e">
        <f>Q26</f>
        <v>#DIV/0!</v>
      </c>
      <c r="E27" s="9">
        <v>1</v>
      </c>
      <c r="F27" s="9">
        <v>1</v>
      </c>
      <c r="G27" s="295" t="e">
        <f>ROUND((B27*C27*D27*E27*F27),2)</f>
        <v>#DIV/0!</v>
      </c>
      <c r="H27" s="296" t="e">
        <f>ROUND(G27*30.2%,2)</f>
        <v>#DIV/0!</v>
      </c>
      <c r="J27" s="309"/>
      <c r="K27" s="308" t="s">
        <v>129</v>
      </c>
      <c r="L27" s="308">
        <f>L25-L26</f>
        <v>207139</v>
      </c>
      <c r="M27" s="308">
        <f>M25-M26</f>
        <v>31.9</v>
      </c>
      <c r="N27" s="308">
        <f>N25-N26</f>
        <v>190835.08</v>
      </c>
      <c r="O27" s="308">
        <f>O25-O26</f>
        <v>16303.92</v>
      </c>
      <c r="P27" s="308">
        <f>ROUND(N27/M27,2)</f>
        <v>5982.29</v>
      </c>
      <c r="Q27" s="308">
        <f>O27/N27+1</f>
        <v>1.0854346066771372</v>
      </c>
    </row>
    <row r="28" spans="2:17" ht="13.5" thickBot="1">
      <c r="B28" s="297"/>
      <c r="C28" s="298"/>
      <c r="D28" s="297"/>
      <c r="E28" s="48"/>
      <c r="F28" s="48"/>
      <c r="G28" s="299"/>
      <c r="H28" s="300"/>
      <c r="J28" s="9">
        <v>2</v>
      </c>
      <c r="K28" s="9" t="s">
        <v>77</v>
      </c>
      <c r="L28" s="356"/>
      <c r="M28" s="356"/>
      <c r="N28" s="431">
        <f>L28-O28</f>
        <v>0</v>
      </c>
      <c r="O28" s="430"/>
      <c r="P28" s="308"/>
      <c r="Q28" s="308"/>
    </row>
    <row r="29" spans="2:17" ht="13.5" thickBot="1">
      <c r="B29" s="7"/>
      <c r="C29" s="7"/>
      <c r="D29" s="7"/>
      <c r="E29" s="7"/>
      <c r="F29" s="7"/>
      <c r="G29" s="301" t="e">
        <f>SUM(G26:G28)</f>
        <v>#DIV/0!</v>
      </c>
      <c r="H29" s="302" t="e">
        <f>SUM(H26:H28)</f>
        <v>#DIV/0!</v>
      </c>
      <c r="J29" s="309"/>
      <c r="K29" s="308" t="s">
        <v>346</v>
      </c>
      <c r="L29" s="308">
        <f>O29+N29</f>
        <v>0</v>
      </c>
      <c r="M29" s="356"/>
      <c r="N29" s="430"/>
      <c r="O29" s="356"/>
      <c r="P29" s="308" t="e">
        <f>ROUND(N29/M29,2)</f>
        <v>#DIV/0!</v>
      </c>
      <c r="Q29" s="308" t="e">
        <f>O29/N29+1</f>
        <v>#DIV/0!</v>
      </c>
    </row>
    <row r="30" spans="2:17" ht="18.75">
      <c r="B30" s="385"/>
      <c r="C30" s="385"/>
      <c r="D30" s="385"/>
      <c r="E30" s="385"/>
      <c r="F30" s="385"/>
      <c r="G30" s="385"/>
      <c r="H30" s="385"/>
      <c r="J30" s="309"/>
      <c r="K30" s="308" t="s">
        <v>129</v>
      </c>
      <c r="L30" s="308">
        <f>L28-L29</f>
        <v>0</v>
      </c>
      <c r="M30" s="308">
        <f>M28-M29</f>
        <v>0</v>
      </c>
      <c r="N30" s="431">
        <f>N28-N29</f>
        <v>0</v>
      </c>
      <c r="O30" s="308">
        <f>O28-O29</f>
        <v>0</v>
      </c>
      <c r="P30" s="308" t="e">
        <f>ROUND(N30/M30,2)</f>
        <v>#DIV/0!</v>
      </c>
      <c r="Q30" s="308" t="e">
        <f>O30/N30+1</f>
        <v>#DIV/0!</v>
      </c>
    </row>
    <row r="31" spans="2:17" ht="18.75">
      <c r="B31" s="385"/>
      <c r="C31" s="7"/>
      <c r="D31" s="7"/>
      <c r="E31" s="7"/>
      <c r="F31" s="7"/>
      <c r="G31" s="7"/>
      <c r="H31" s="385"/>
      <c r="J31" s="383"/>
      <c r="K31" s="392"/>
      <c r="L31" s="392"/>
      <c r="M31" s="392"/>
      <c r="N31" s="392"/>
      <c r="O31" s="392"/>
      <c r="P31" s="392"/>
      <c r="Q31" s="392"/>
    </row>
    <row r="32" spans="2:17" ht="18.75">
      <c r="B32" s="385"/>
      <c r="C32" s="127" t="s">
        <v>120</v>
      </c>
      <c r="D32" s="15"/>
      <c r="E32" s="128"/>
      <c r="F32" s="11"/>
      <c r="G32" s="11" t="s">
        <v>389</v>
      </c>
      <c r="H32" s="385"/>
      <c r="J32" s="383"/>
      <c r="K32" s="392"/>
      <c r="L32" s="392"/>
      <c r="M32" s="392"/>
      <c r="N32" s="392"/>
      <c r="O32" s="392"/>
      <c r="P32" s="392"/>
      <c r="Q32" s="392"/>
    </row>
    <row r="33" spans="2:17" ht="18.75">
      <c r="B33" s="385"/>
      <c r="C33" s="15"/>
      <c r="D33" s="15"/>
      <c r="E33" s="15"/>
      <c r="F33" s="15"/>
      <c r="G33" s="15"/>
      <c r="H33" s="385"/>
      <c r="J33" s="383"/>
      <c r="K33" s="392"/>
      <c r="L33" s="392"/>
      <c r="M33" s="392"/>
      <c r="N33" s="392"/>
      <c r="O33" s="392"/>
      <c r="P33" s="392"/>
      <c r="Q33" s="392"/>
    </row>
    <row r="34" spans="2:17" ht="18.75">
      <c r="B34" s="385"/>
      <c r="C34" s="15"/>
      <c r="D34" s="15"/>
      <c r="E34" s="15"/>
      <c r="F34" s="15"/>
      <c r="G34" s="15"/>
      <c r="H34" s="385"/>
      <c r="J34" s="383"/>
      <c r="K34" s="392"/>
      <c r="L34" s="392"/>
      <c r="M34" s="392"/>
      <c r="N34" s="392"/>
      <c r="O34" s="392"/>
      <c r="P34" s="392"/>
      <c r="Q34" s="392"/>
    </row>
    <row r="35" spans="2:17" ht="18.75">
      <c r="B35" s="385"/>
      <c r="C35" t="s">
        <v>105</v>
      </c>
      <c r="D35" s="15"/>
      <c r="E35" s="15"/>
      <c r="F35" s="11"/>
      <c r="G35" s="152" t="s">
        <v>398</v>
      </c>
      <c r="H35" s="385"/>
      <c r="J35" s="383"/>
      <c r="K35" s="392"/>
      <c r="L35" s="392"/>
      <c r="M35" s="392"/>
      <c r="N35" s="392"/>
      <c r="O35" s="392"/>
      <c r="P35" s="392"/>
      <c r="Q35" s="392"/>
    </row>
    <row r="36" spans="2:17" ht="18.75">
      <c r="B36" s="385"/>
      <c r="C36" s="15"/>
      <c r="D36" s="15"/>
      <c r="E36" s="15"/>
      <c r="F36" s="15"/>
      <c r="G36" s="15"/>
      <c r="H36" s="385"/>
      <c r="J36" s="383"/>
      <c r="K36" s="392"/>
      <c r="L36" s="392"/>
      <c r="M36" s="392"/>
      <c r="N36" s="392"/>
      <c r="O36" s="392"/>
      <c r="P36" s="392"/>
      <c r="Q36" s="392"/>
    </row>
    <row r="37" spans="2:17" ht="18.75">
      <c r="B37" s="385"/>
      <c r="C37" s="385"/>
      <c r="D37" s="385"/>
      <c r="E37" s="385"/>
      <c r="F37" s="385"/>
      <c r="G37" s="385"/>
      <c r="H37" s="385"/>
      <c r="J37" s="383"/>
      <c r="K37" s="392"/>
      <c r="L37" s="392"/>
      <c r="M37" s="392"/>
      <c r="N37" s="392"/>
      <c r="O37" s="392"/>
      <c r="P37" s="392"/>
      <c r="Q37" s="392"/>
    </row>
    <row r="38" spans="2:17" ht="18.75">
      <c r="B38" s="385"/>
      <c r="C38" s="385"/>
      <c r="D38" s="385"/>
      <c r="E38" s="385"/>
      <c r="F38" s="385"/>
      <c r="G38" s="385"/>
      <c r="H38" s="385"/>
      <c r="J38" s="383"/>
      <c r="K38" s="392"/>
      <c r="L38" s="392"/>
      <c r="M38" s="392"/>
      <c r="N38" s="392"/>
      <c r="O38" s="392"/>
      <c r="P38" s="392"/>
      <c r="Q38" s="392"/>
    </row>
    <row r="39" spans="2:17" ht="18.75">
      <c r="B39" s="385"/>
      <c r="C39" s="385"/>
      <c r="D39" s="385"/>
      <c r="E39" s="385"/>
      <c r="F39" s="385"/>
      <c r="G39" s="385"/>
      <c r="H39" s="385"/>
      <c r="J39" s="383"/>
      <c r="K39" s="392"/>
      <c r="L39" s="392"/>
      <c r="M39" s="392"/>
      <c r="N39" s="392"/>
      <c r="O39" s="392"/>
      <c r="P39" s="392"/>
      <c r="Q39" s="392"/>
    </row>
    <row r="40" spans="2:17" ht="18.75">
      <c r="B40" s="385"/>
      <c r="C40" s="385"/>
      <c r="D40" s="385"/>
      <c r="E40" s="385"/>
      <c r="F40" s="385"/>
      <c r="G40" s="385"/>
      <c r="H40" s="385"/>
      <c r="J40" s="383"/>
      <c r="K40" s="392"/>
      <c r="L40" s="392"/>
      <c r="M40" s="392"/>
      <c r="N40" s="392"/>
      <c r="O40" s="392"/>
      <c r="P40" s="392"/>
      <c r="Q40" s="392"/>
    </row>
    <row r="41" spans="2:17" ht="18.75">
      <c r="B41" s="385"/>
      <c r="C41" s="385"/>
      <c r="D41" s="385"/>
      <c r="E41" s="385"/>
      <c r="F41" s="385"/>
      <c r="G41" s="385"/>
      <c r="H41" s="385"/>
      <c r="J41" s="383"/>
      <c r="K41" s="392"/>
      <c r="L41" s="392"/>
      <c r="M41" s="392"/>
      <c r="N41" s="392"/>
      <c r="O41" s="392"/>
      <c r="P41" s="392"/>
      <c r="Q41" s="392"/>
    </row>
    <row r="42" spans="2:17" ht="18.75">
      <c r="B42" s="385"/>
      <c r="C42" s="385"/>
      <c r="D42" s="385"/>
      <c r="E42" s="385"/>
      <c r="F42" s="385"/>
      <c r="G42" s="385"/>
      <c r="H42" s="385"/>
      <c r="J42" s="383"/>
      <c r="K42" s="392"/>
      <c r="L42" s="392"/>
      <c r="M42" s="392"/>
      <c r="N42" s="392"/>
      <c r="O42" s="392"/>
      <c r="P42" s="392"/>
      <c r="Q42" s="392"/>
    </row>
    <row r="43" spans="2:17" ht="18.75">
      <c r="B43" s="385"/>
      <c r="C43" s="385"/>
      <c r="D43" s="385"/>
      <c r="E43" s="385"/>
      <c r="F43" s="385"/>
      <c r="G43" s="385"/>
      <c r="H43" s="385"/>
      <c r="J43" s="383"/>
      <c r="K43" s="392"/>
      <c r="L43" s="392"/>
      <c r="M43" s="392"/>
      <c r="N43" s="392"/>
      <c r="O43" s="392"/>
      <c r="P43" s="392"/>
      <c r="Q43" s="392"/>
    </row>
    <row r="44" spans="2:17" ht="18.75">
      <c r="B44" s="385"/>
      <c r="C44" s="385"/>
      <c r="D44" s="385"/>
      <c r="E44" s="385"/>
      <c r="F44" s="385"/>
      <c r="G44" s="385"/>
      <c r="H44" s="385"/>
      <c r="J44" s="383"/>
      <c r="K44" s="392"/>
      <c r="L44" s="392"/>
      <c r="M44" s="392"/>
      <c r="N44" s="392"/>
      <c r="O44" s="392"/>
      <c r="P44" s="392"/>
      <c r="Q44" s="392"/>
    </row>
    <row r="45" spans="2:17" ht="18.75">
      <c r="B45" s="385"/>
      <c r="C45" s="385"/>
      <c r="D45" s="385"/>
      <c r="E45" s="385"/>
      <c r="F45" s="385"/>
      <c r="G45" s="385"/>
      <c r="H45" s="385"/>
      <c r="J45" s="383"/>
      <c r="K45" s="392"/>
      <c r="L45" s="392"/>
      <c r="M45" s="392"/>
      <c r="N45" s="392"/>
      <c r="O45" s="392"/>
      <c r="P45" s="392"/>
      <c r="Q45" s="392"/>
    </row>
    <row r="46" spans="2:17" ht="12.75">
      <c r="B46" s="2"/>
      <c r="G46" s="597" t="s">
        <v>98</v>
      </c>
      <c r="H46" s="597"/>
      <c r="J46" s="383"/>
      <c r="K46" s="392"/>
      <c r="L46" s="392"/>
      <c r="M46" s="392"/>
      <c r="N46" s="392"/>
      <c r="O46" s="392"/>
      <c r="P46" s="392"/>
      <c r="Q46" s="392"/>
    </row>
    <row r="47" spans="2:11" ht="43.5" customHeight="1">
      <c r="B47" s="598" t="s">
        <v>5</v>
      </c>
      <c r="C47" s="598"/>
      <c r="D47" s="598"/>
      <c r="E47" s="598"/>
      <c r="F47" s="598"/>
      <c r="G47" s="598"/>
      <c r="H47" s="598"/>
      <c r="K47" s="307"/>
    </row>
    <row r="48" spans="2:11" ht="48" customHeight="1" thickBot="1">
      <c r="B48" s="596" t="s">
        <v>411</v>
      </c>
      <c r="C48" s="596"/>
      <c r="D48" s="596"/>
      <c r="E48" s="596"/>
      <c r="F48" s="596"/>
      <c r="G48" s="596"/>
      <c r="H48" s="596"/>
      <c r="K48" s="307"/>
    </row>
    <row r="49" spans="2:11" ht="33.75" customHeight="1">
      <c r="B49" s="42" t="s">
        <v>339</v>
      </c>
      <c r="C49" s="43" t="s">
        <v>337</v>
      </c>
      <c r="D49" s="43" t="s">
        <v>338</v>
      </c>
      <c r="E49" s="43" t="s">
        <v>0</v>
      </c>
      <c r="F49" s="43" t="s">
        <v>1</v>
      </c>
      <c r="G49" s="43" t="s">
        <v>2</v>
      </c>
      <c r="H49" s="44" t="s">
        <v>3</v>
      </c>
      <c r="K49" s="307"/>
    </row>
    <row r="50" spans="2:11" ht="12.75">
      <c r="B50" s="45">
        <f>M11</f>
        <v>95.25</v>
      </c>
      <c r="C50" s="45">
        <f>P11</f>
        <v>7872.1</v>
      </c>
      <c r="D50" s="45">
        <f>Q11</f>
        <v>1.7579990038104227</v>
      </c>
      <c r="E50" s="9">
        <v>4</v>
      </c>
      <c r="F50" s="9">
        <v>1</v>
      </c>
      <c r="G50" s="9">
        <f>ROUND((B50*C50*D50)*E50*F50,2)</f>
        <v>5272713.85</v>
      </c>
      <c r="H50" s="46">
        <f>ROUND(G50*30.2%,2)</f>
        <v>1592359.58</v>
      </c>
      <c r="K50" s="307"/>
    </row>
    <row r="51" spans="2:8" ht="12.75">
      <c r="B51" s="45">
        <f>M19</f>
        <v>95.25</v>
      </c>
      <c r="C51" s="306">
        <f>P19</f>
        <v>8043.27</v>
      </c>
      <c r="D51" s="306">
        <f>Q19</f>
        <v>1.6983970966258803</v>
      </c>
      <c r="E51" s="9">
        <v>4</v>
      </c>
      <c r="F51" s="9">
        <v>1</v>
      </c>
      <c r="G51" s="9">
        <f>ROUND((B51*C51*D51)*E51*F51,2)-12.77</f>
        <v>5204701.130000001</v>
      </c>
      <c r="H51" s="46">
        <f>ROUND(G51*30.2%,2)</f>
        <v>1571819.74</v>
      </c>
    </row>
    <row r="52" spans="2:8" ht="12.75">
      <c r="B52" s="292">
        <f>M15</f>
        <v>95.25</v>
      </c>
      <c r="C52" s="306">
        <f>P15</f>
        <v>8796.21</v>
      </c>
      <c r="D52" s="306">
        <f>Q15</f>
        <v>1.5949728555137335</v>
      </c>
      <c r="E52" s="9">
        <v>1</v>
      </c>
      <c r="F52" s="9">
        <v>1</v>
      </c>
      <c r="G52" s="9">
        <f>ROUND((B52*C52*D52)*E52*F52,2)</f>
        <v>1336330.47</v>
      </c>
      <c r="H52" s="46">
        <f>ROUND(G52*30.2%,2)</f>
        <v>403571.8</v>
      </c>
    </row>
    <row r="53" spans="1:8" ht="12.75">
      <c r="A53" s="8">
        <v>3</v>
      </c>
      <c r="B53" s="292">
        <f>M23</f>
        <v>95.25</v>
      </c>
      <c r="C53" s="304">
        <f>P23</f>
        <v>8796.21</v>
      </c>
      <c r="D53" s="153">
        <f>Q23</f>
        <v>2.117766217662957</v>
      </c>
      <c r="E53" s="153">
        <v>3</v>
      </c>
      <c r="F53" s="153">
        <v>1</v>
      </c>
      <c r="G53" s="9">
        <f>ROUND((B53*C53*D53)*E53*F53,2)</f>
        <v>5323041.41</v>
      </c>
      <c r="H53" s="46">
        <f>ROUND(G53*30.2%,2)</f>
        <v>1607558.51</v>
      </c>
    </row>
    <row r="54" spans="1:8" ht="13.5" thickBot="1">
      <c r="A54" s="8">
        <v>4</v>
      </c>
      <c r="B54" s="47"/>
      <c r="C54" s="299"/>
      <c r="D54" s="48"/>
      <c r="E54" s="48"/>
      <c r="F54" s="48"/>
      <c r="G54" s="48">
        <f>SUM(G50:G53)+0.19-0.72</f>
        <v>17136786.330000002</v>
      </c>
      <c r="H54" s="49">
        <f>SUM(H50:H53)+0.72</f>
        <v>5175310.35</v>
      </c>
    </row>
    <row r="55" spans="1:8" ht="51.75" customHeight="1" thickBot="1">
      <c r="A55" s="8"/>
      <c r="B55" s="595" t="s">
        <v>412</v>
      </c>
      <c r="C55" s="595"/>
      <c r="D55" s="595"/>
      <c r="E55" s="595"/>
      <c r="F55" s="595"/>
      <c r="G55" s="595"/>
      <c r="H55" s="595"/>
    </row>
    <row r="56" spans="1:8" ht="38.25">
      <c r="A56" s="8"/>
      <c r="B56" s="42" t="s">
        <v>339</v>
      </c>
      <c r="C56" s="43" t="s">
        <v>337</v>
      </c>
      <c r="D56" s="43" t="s">
        <v>338</v>
      </c>
      <c r="E56" s="43" t="s">
        <v>0</v>
      </c>
      <c r="F56" s="43" t="s">
        <v>1</v>
      </c>
      <c r="G56" s="43" t="s">
        <v>2</v>
      </c>
      <c r="H56" s="44" t="s">
        <v>3</v>
      </c>
    </row>
    <row r="57" spans="1:8" ht="12.75">
      <c r="A57" s="8"/>
      <c r="B57" s="45">
        <f>M27</f>
        <v>31.9</v>
      </c>
      <c r="C57" s="45">
        <f>P27</f>
        <v>5982.29</v>
      </c>
      <c r="D57" s="45">
        <f>Q27</f>
        <v>1.0854346066771372</v>
      </c>
      <c r="E57" s="9">
        <v>12</v>
      </c>
      <c r="F57" s="9">
        <v>1</v>
      </c>
      <c r="G57" s="9">
        <f>ROUND((B57*C57*D57)*E57*F57,2)+0.38</f>
        <v>2485668</v>
      </c>
      <c r="H57" s="46">
        <f>ROUND(G57*30.2%,2)+0.26</f>
        <v>750672</v>
      </c>
    </row>
    <row r="58" spans="1:8" ht="12.75">
      <c r="A58" s="8"/>
      <c r="B58" s="45"/>
      <c r="C58" s="432"/>
      <c r="D58" s="45"/>
      <c r="E58" s="9"/>
      <c r="F58" s="9"/>
      <c r="G58" s="9"/>
      <c r="H58" s="46"/>
    </row>
    <row r="59" spans="1:8" ht="12.75">
      <c r="A59" s="8"/>
      <c r="B59" s="292"/>
      <c r="C59" s="304"/>
      <c r="D59" s="153"/>
      <c r="E59" s="153"/>
      <c r="F59" s="153"/>
      <c r="G59" s="153"/>
      <c r="H59" s="305"/>
    </row>
    <row r="60" spans="1:8" ht="13.5" thickBot="1">
      <c r="A60" s="8"/>
      <c r="B60" s="47"/>
      <c r="C60" s="299"/>
      <c r="D60" s="48"/>
      <c r="E60" s="48"/>
      <c r="F60" s="48"/>
      <c r="G60" s="48">
        <f>SUM(G57:G59)</f>
        <v>2485668</v>
      </c>
      <c r="H60" s="49">
        <f>SUM(H57:H59)</f>
        <v>750672</v>
      </c>
    </row>
    <row r="61" spans="1:8" ht="12.75">
      <c r="A61" s="8"/>
      <c r="B61" s="290"/>
      <c r="C61" s="291"/>
      <c r="D61" s="290"/>
      <c r="E61" s="290"/>
      <c r="F61" s="290"/>
      <c r="G61" s="290"/>
      <c r="H61" s="290"/>
    </row>
    <row r="62" spans="1:8" ht="12.75">
      <c r="A62" s="8"/>
      <c r="B62" s="290"/>
      <c r="C62" s="291"/>
      <c r="D62" s="290"/>
      <c r="E62" s="290"/>
      <c r="F62" s="290"/>
      <c r="G62" s="290"/>
      <c r="H62" s="290"/>
    </row>
    <row r="63" spans="1:8" ht="12.75">
      <c r="A63" s="8"/>
      <c r="B63" s="290"/>
      <c r="C63" s="291"/>
      <c r="D63" s="290"/>
      <c r="E63" s="290"/>
      <c r="F63" s="290"/>
      <c r="G63" s="290"/>
      <c r="H63" s="290"/>
    </row>
    <row r="64" spans="1:8" ht="12.75">
      <c r="A64" s="8"/>
      <c r="B64" s="290"/>
      <c r="C64" s="291"/>
      <c r="D64" s="290"/>
      <c r="E64" s="290"/>
      <c r="F64" s="290"/>
      <c r="G64" s="290"/>
      <c r="H64" s="290"/>
    </row>
    <row r="65" spans="1:8" ht="12.75">
      <c r="A65" s="8"/>
      <c r="B65" s="290"/>
      <c r="C65" s="291"/>
      <c r="D65" s="290"/>
      <c r="E65" s="290"/>
      <c r="F65" s="290"/>
      <c r="G65" s="290"/>
      <c r="H65" s="290"/>
    </row>
    <row r="66" spans="1:8" ht="12.75">
      <c r="A66" s="8"/>
      <c r="B66" s="290"/>
      <c r="C66" s="291"/>
      <c r="D66" s="290"/>
      <c r="E66" s="290"/>
      <c r="F66" s="290"/>
      <c r="G66" s="290" t="s">
        <v>71</v>
      </c>
      <c r="H66" s="290"/>
    </row>
    <row r="67" spans="1:8" ht="13.5" thickBot="1">
      <c r="A67" s="8"/>
      <c r="B67" s="290"/>
      <c r="C67" s="291"/>
      <c r="D67" s="290"/>
      <c r="E67" s="290"/>
      <c r="F67" s="290"/>
      <c r="G67" s="290"/>
      <c r="H67" s="290"/>
    </row>
    <row r="68" spans="1:8" ht="89.25">
      <c r="A68" s="8"/>
      <c r="B68" s="42" t="s">
        <v>340</v>
      </c>
      <c r="C68" s="43" t="s">
        <v>341</v>
      </c>
      <c r="D68" s="43" t="s">
        <v>0</v>
      </c>
      <c r="E68" s="44" t="s">
        <v>342</v>
      </c>
      <c r="F68" s="7"/>
      <c r="G68" s="7"/>
      <c r="H68" s="7" t="s">
        <v>71</v>
      </c>
    </row>
    <row r="69" spans="1:8" ht="13.5" thickBot="1">
      <c r="A69" s="8"/>
      <c r="B69" s="303"/>
      <c r="C69" s="145"/>
      <c r="D69" s="145"/>
      <c r="E69" s="49"/>
      <c r="F69" s="7"/>
      <c r="G69" s="7"/>
      <c r="H69" s="7"/>
    </row>
    <row r="70" spans="1:9" ht="13.5" thickBot="1">
      <c r="A70" s="8"/>
      <c r="B70" s="310">
        <v>50</v>
      </c>
      <c r="C70" s="297">
        <v>14</v>
      </c>
      <c r="D70" s="297">
        <v>12</v>
      </c>
      <c r="E70" s="49">
        <f>B70*C70*D70</f>
        <v>8400</v>
      </c>
      <c r="I70" s="2" t="s">
        <v>71</v>
      </c>
    </row>
    <row r="71" spans="1:2" ht="12.75">
      <c r="A71" s="8">
        <v>4</v>
      </c>
      <c r="B71" s="2"/>
    </row>
    <row r="72" ht="12.75">
      <c r="B72" s="2"/>
    </row>
    <row r="73" ht="12.75">
      <c r="B73" s="2"/>
    </row>
    <row r="74" spans="2:8" ht="12.75">
      <c r="B74" s="127" t="s">
        <v>120</v>
      </c>
      <c r="C74" s="15"/>
      <c r="D74" s="128"/>
      <c r="E74" s="11"/>
      <c r="F74" s="152"/>
      <c r="G74" s="11" t="s">
        <v>389</v>
      </c>
      <c r="H74" s="15"/>
    </row>
    <row r="75" spans="2:8" ht="12.75">
      <c r="B75" s="15"/>
      <c r="C75" s="15"/>
      <c r="D75" s="15"/>
      <c r="E75" s="15"/>
      <c r="F75" s="15"/>
      <c r="G75" s="15"/>
      <c r="H75" s="15"/>
    </row>
    <row r="76" spans="2:8" ht="12.75">
      <c r="B76" s="15"/>
      <c r="C76" s="15"/>
      <c r="D76" s="15"/>
      <c r="E76" s="15"/>
      <c r="F76" s="15"/>
      <c r="G76" s="15"/>
      <c r="H76" s="15"/>
    </row>
    <row r="77" spans="2:8" ht="12.75">
      <c r="B77" t="s">
        <v>105</v>
      </c>
      <c r="C77" s="15"/>
      <c r="D77" s="15"/>
      <c r="E77" s="11"/>
      <c r="F77" s="152"/>
      <c r="G77" s="11" t="s">
        <v>390</v>
      </c>
      <c r="H77" s="15"/>
    </row>
  </sheetData>
  <sheetProtection/>
  <mergeCells count="9">
    <mergeCell ref="B55:H55"/>
    <mergeCell ref="B48:H48"/>
    <mergeCell ref="G46:H46"/>
    <mergeCell ref="B47:H47"/>
    <mergeCell ref="H1:I1"/>
    <mergeCell ref="C2:I2"/>
    <mergeCell ref="H3:I3"/>
    <mergeCell ref="C4:I4"/>
    <mergeCell ref="B23:H23"/>
  </mergeCells>
  <printOptions/>
  <pageMargins left="1.1811023622047245" right="0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111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3.375" style="0" customWidth="1"/>
    <col min="2" max="2" width="16.875" style="0" customWidth="1"/>
    <col min="3" max="4" width="12.875" style="0" customWidth="1"/>
    <col min="5" max="5" width="13.00390625" style="0" customWidth="1"/>
    <col min="6" max="6" width="12.25390625" style="0" customWidth="1"/>
    <col min="10" max="10" width="8.75390625" style="0" customWidth="1"/>
  </cols>
  <sheetData>
    <row r="1" spans="5:6" ht="12.75">
      <c r="E1" s="606" t="s">
        <v>99</v>
      </c>
      <c r="F1" s="606"/>
    </row>
    <row r="2" spans="1:6" ht="18.75">
      <c r="A2" s="601" t="s">
        <v>16</v>
      </c>
      <c r="B2" s="601"/>
      <c r="C2" s="601"/>
      <c r="D2" s="601"/>
      <c r="E2" s="601"/>
      <c r="F2" s="601"/>
    </row>
    <row r="3" spans="1:6" s="13" customFormat="1" ht="12.75">
      <c r="A3" s="12"/>
      <c r="B3" s="12"/>
      <c r="C3" s="12"/>
      <c r="D3" s="12"/>
      <c r="E3" s="12"/>
      <c r="F3" s="12"/>
    </row>
    <row r="4" spans="1:6" ht="13.5" thickBot="1">
      <c r="A4" s="12"/>
      <c r="B4" s="12"/>
      <c r="C4" s="12"/>
      <c r="D4" s="12"/>
      <c r="E4" s="12"/>
      <c r="F4" s="12"/>
    </row>
    <row r="5" spans="1:6" s="2" customFormat="1" ht="26.25" thickBot="1">
      <c r="A5" s="314"/>
      <c r="B5" s="315" t="s">
        <v>13</v>
      </c>
      <c r="C5" s="315" t="s">
        <v>14</v>
      </c>
      <c r="D5" s="315" t="s">
        <v>0</v>
      </c>
      <c r="E5" s="316" t="s">
        <v>1</v>
      </c>
      <c r="F5" s="317" t="s">
        <v>15</v>
      </c>
    </row>
    <row r="6" spans="1:7" ht="13.5" thickBot="1">
      <c r="A6" s="42" t="s">
        <v>63</v>
      </c>
      <c r="B6" s="318">
        <v>307.5</v>
      </c>
      <c r="C6" s="319">
        <v>38.4</v>
      </c>
      <c r="D6" s="319">
        <v>6</v>
      </c>
      <c r="E6" s="319">
        <v>1</v>
      </c>
      <c r="F6" s="320">
        <f>ROUND(B6*C6*D6*E6,2)</f>
        <v>70848</v>
      </c>
      <c r="G6" t="s">
        <v>335</v>
      </c>
    </row>
    <row r="7" spans="1:7" ht="13.5" thickBot="1">
      <c r="A7" s="487" t="s">
        <v>63</v>
      </c>
      <c r="B7" s="488">
        <v>342.5</v>
      </c>
      <c r="C7" s="489">
        <v>38.4</v>
      </c>
      <c r="D7" s="489">
        <v>6</v>
      </c>
      <c r="E7" s="489">
        <v>1</v>
      </c>
      <c r="F7" s="320">
        <f>ROUND(B7*C7*D7*E7,2)</f>
        <v>78912</v>
      </c>
      <c r="G7" t="s">
        <v>335</v>
      </c>
    </row>
    <row r="8" spans="1:7" ht="34.5" customHeight="1" thickBot="1">
      <c r="A8" s="45" t="s">
        <v>374</v>
      </c>
      <c r="B8" s="382">
        <v>1124.71</v>
      </c>
      <c r="C8" s="1">
        <v>1</v>
      </c>
      <c r="D8" s="1">
        <v>12</v>
      </c>
      <c r="E8" s="1">
        <v>1</v>
      </c>
      <c r="F8" s="320">
        <f aca="true" t="shared" si="0" ref="F8:F26">ROUND(B8*C8*D8*E8,2)</f>
        <v>13496.52</v>
      </c>
      <c r="G8" t="s">
        <v>335</v>
      </c>
    </row>
    <row r="9" spans="1:7" ht="26.25" thickBot="1">
      <c r="A9" s="45" t="s">
        <v>384</v>
      </c>
      <c r="B9" s="1">
        <v>1605.26</v>
      </c>
      <c r="C9" s="1">
        <v>3</v>
      </c>
      <c r="D9" s="1">
        <v>12</v>
      </c>
      <c r="E9" s="1">
        <v>1</v>
      </c>
      <c r="F9" s="320">
        <f t="shared" si="0"/>
        <v>57789.36</v>
      </c>
      <c r="G9" t="s">
        <v>335</v>
      </c>
    </row>
    <row r="10" spans="1:7" ht="13.5" thickBot="1">
      <c r="A10" s="45" t="s">
        <v>64</v>
      </c>
      <c r="B10" s="1">
        <v>1399.28</v>
      </c>
      <c r="C10" s="1">
        <v>1</v>
      </c>
      <c r="D10" s="1">
        <v>12</v>
      </c>
      <c r="E10" s="1">
        <v>1</v>
      </c>
      <c r="F10" s="320">
        <f t="shared" si="0"/>
        <v>16791.36</v>
      </c>
      <c r="G10" t="s">
        <v>335</v>
      </c>
    </row>
    <row r="11" spans="1:6" ht="12.75" customHeight="1" thickBot="1">
      <c r="A11" s="436"/>
      <c r="B11" s="1"/>
      <c r="C11" s="1">
        <v>1</v>
      </c>
      <c r="D11" s="1">
        <v>1</v>
      </c>
      <c r="E11" s="1">
        <v>1</v>
      </c>
      <c r="F11" s="320">
        <f t="shared" si="0"/>
        <v>0</v>
      </c>
    </row>
    <row r="12" spans="1:7" ht="26.25" thickBot="1">
      <c r="A12" s="45" t="s">
        <v>416</v>
      </c>
      <c r="B12" s="1">
        <v>770.54</v>
      </c>
      <c r="C12" s="1">
        <v>1</v>
      </c>
      <c r="D12" s="1">
        <v>12</v>
      </c>
      <c r="E12" s="1">
        <v>1</v>
      </c>
      <c r="F12" s="320">
        <f t="shared" si="0"/>
        <v>9246.48</v>
      </c>
      <c r="G12" t="s">
        <v>335</v>
      </c>
    </row>
    <row r="13" spans="1:7" ht="13.5" thickBot="1">
      <c r="A13" s="45" t="s">
        <v>421</v>
      </c>
      <c r="B13" s="1">
        <v>3000.3</v>
      </c>
      <c r="C13" s="1">
        <v>1</v>
      </c>
      <c r="D13" s="1">
        <v>12</v>
      </c>
      <c r="E13" s="1">
        <v>1</v>
      </c>
      <c r="F13" s="320">
        <f t="shared" si="0"/>
        <v>36003.6</v>
      </c>
      <c r="G13" t="s">
        <v>335</v>
      </c>
    </row>
    <row r="14" spans="1:7" ht="13.5" thickBot="1">
      <c r="A14" s="45" t="s">
        <v>383</v>
      </c>
      <c r="B14" s="1">
        <v>6635</v>
      </c>
      <c r="C14" s="1">
        <v>1</v>
      </c>
      <c r="D14" s="1">
        <v>12</v>
      </c>
      <c r="E14" s="1">
        <v>1</v>
      </c>
      <c r="F14" s="320">
        <f t="shared" si="0"/>
        <v>79620</v>
      </c>
      <c r="G14" t="s">
        <v>335</v>
      </c>
    </row>
    <row r="15" spans="1:6" ht="13.5" hidden="1" thickBot="1">
      <c r="A15" s="151" t="s">
        <v>128</v>
      </c>
      <c r="B15" s="1"/>
      <c r="C15" s="1">
        <v>1</v>
      </c>
      <c r="D15" s="1">
        <v>1</v>
      </c>
      <c r="E15" s="1">
        <v>1</v>
      </c>
      <c r="F15" s="320">
        <f>ROUND(B15*C15*D15*E15,2)</f>
        <v>0</v>
      </c>
    </row>
    <row r="16" spans="1:7" ht="25.5" customHeight="1" thickBot="1">
      <c r="A16" s="45" t="s">
        <v>417</v>
      </c>
      <c r="B16" s="389">
        <v>4231</v>
      </c>
      <c r="C16" s="390">
        <v>1</v>
      </c>
      <c r="D16" s="389">
        <v>12</v>
      </c>
      <c r="E16" s="1">
        <v>1</v>
      </c>
      <c r="F16" s="320">
        <f t="shared" si="0"/>
        <v>50772</v>
      </c>
      <c r="G16" t="s">
        <v>335</v>
      </c>
    </row>
    <row r="17" spans="1:7" ht="25.5" customHeight="1" thickBot="1">
      <c r="A17" s="45" t="s">
        <v>348</v>
      </c>
      <c r="B17" s="389">
        <v>1800</v>
      </c>
      <c r="C17" s="390">
        <v>1</v>
      </c>
      <c r="D17" s="389">
        <v>9</v>
      </c>
      <c r="E17" s="1">
        <v>1</v>
      </c>
      <c r="F17" s="320">
        <f t="shared" si="0"/>
        <v>16200</v>
      </c>
      <c r="G17" t="s">
        <v>335</v>
      </c>
    </row>
    <row r="18" spans="1:7" ht="25.5" customHeight="1" thickBot="1">
      <c r="A18" s="45" t="s">
        <v>418</v>
      </c>
      <c r="B18" s="389">
        <v>1100</v>
      </c>
      <c r="C18" s="390">
        <v>3</v>
      </c>
      <c r="D18" s="389">
        <v>12</v>
      </c>
      <c r="E18" s="1">
        <v>1</v>
      </c>
      <c r="F18" s="320">
        <f t="shared" si="0"/>
        <v>39600</v>
      </c>
      <c r="G18" t="s">
        <v>335</v>
      </c>
    </row>
    <row r="19" spans="1:7" ht="25.5" customHeight="1" thickBot="1">
      <c r="A19" s="45" t="s">
        <v>397</v>
      </c>
      <c r="B19" s="389">
        <v>4600</v>
      </c>
      <c r="C19" s="390">
        <v>1</v>
      </c>
      <c r="D19" s="389">
        <v>1</v>
      </c>
      <c r="E19" s="1">
        <v>1</v>
      </c>
      <c r="F19" s="320">
        <f t="shared" si="0"/>
        <v>4600</v>
      </c>
      <c r="G19" t="s">
        <v>335</v>
      </c>
    </row>
    <row r="20" spans="1:7" ht="13.5" thickBot="1">
      <c r="A20" s="60" t="s">
        <v>449</v>
      </c>
      <c r="B20" s="389">
        <v>500</v>
      </c>
      <c r="C20" s="390">
        <v>1</v>
      </c>
      <c r="D20" s="389">
        <v>12</v>
      </c>
      <c r="E20" s="1">
        <v>1</v>
      </c>
      <c r="F20" s="320">
        <f t="shared" si="0"/>
        <v>6000</v>
      </c>
      <c r="G20" t="s">
        <v>335</v>
      </c>
    </row>
    <row r="21" spans="1:7" ht="23.25" customHeight="1" thickBot="1">
      <c r="A21" s="60" t="s">
        <v>450</v>
      </c>
      <c r="B21" s="1">
        <v>4060</v>
      </c>
      <c r="C21" s="1">
        <v>1</v>
      </c>
      <c r="D21" s="1">
        <v>4</v>
      </c>
      <c r="E21" s="1">
        <v>1</v>
      </c>
      <c r="F21" s="320">
        <f t="shared" si="0"/>
        <v>16240</v>
      </c>
      <c r="G21" t="s">
        <v>335</v>
      </c>
    </row>
    <row r="22" spans="1:7" ht="26.25" thickBot="1">
      <c r="A22" s="60" t="s">
        <v>451</v>
      </c>
      <c r="B22" s="1">
        <v>4800</v>
      </c>
      <c r="C22" s="1">
        <v>1</v>
      </c>
      <c r="D22" s="1">
        <v>1</v>
      </c>
      <c r="E22" s="1">
        <v>1</v>
      </c>
      <c r="F22" s="320">
        <f t="shared" si="0"/>
        <v>4800</v>
      </c>
      <c r="G22" t="s">
        <v>335</v>
      </c>
    </row>
    <row r="23" spans="1:7" ht="64.5" thickBot="1">
      <c r="A23" s="60" t="s">
        <v>452</v>
      </c>
      <c r="B23" s="1">
        <v>10000</v>
      </c>
      <c r="C23" s="1">
        <v>1</v>
      </c>
      <c r="D23" s="1">
        <v>1</v>
      </c>
      <c r="E23" s="1">
        <v>1</v>
      </c>
      <c r="F23" s="320">
        <f t="shared" si="0"/>
        <v>10000</v>
      </c>
      <c r="G23" t="s">
        <v>335</v>
      </c>
    </row>
    <row r="24" spans="1:7" ht="26.25" thickBot="1">
      <c r="A24" s="60" t="s">
        <v>403</v>
      </c>
      <c r="B24" s="1">
        <v>4800</v>
      </c>
      <c r="C24" s="1">
        <v>1</v>
      </c>
      <c r="D24" s="1">
        <v>1</v>
      </c>
      <c r="E24" s="1">
        <v>1</v>
      </c>
      <c r="F24" s="320">
        <f t="shared" si="0"/>
        <v>4800</v>
      </c>
      <c r="G24" t="s">
        <v>335</v>
      </c>
    </row>
    <row r="25" spans="1:7" ht="26.25" thickBot="1">
      <c r="A25" s="60" t="s">
        <v>462</v>
      </c>
      <c r="B25" s="1">
        <v>537</v>
      </c>
      <c r="C25" s="1">
        <v>1</v>
      </c>
      <c r="D25" s="1">
        <v>1</v>
      </c>
      <c r="E25" s="1">
        <v>1</v>
      </c>
      <c r="F25" s="320">
        <f>ROUND(B25*C25*D25*E25,2)</f>
        <v>537</v>
      </c>
      <c r="G25" t="s">
        <v>335</v>
      </c>
    </row>
    <row r="26" spans="1:7" ht="13.5" thickBot="1">
      <c r="A26" s="45" t="s">
        <v>463</v>
      </c>
      <c r="B26" s="1">
        <v>6556.55</v>
      </c>
      <c r="C26" s="1">
        <v>1</v>
      </c>
      <c r="D26" s="1">
        <v>1</v>
      </c>
      <c r="E26" s="1">
        <v>1</v>
      </c>
      <c r="F26" s="320">
        <f t="shared" si="0"/>
        <v>6556.55</v>
      </c>
      <c r="G26" t="s">
        <v>335</v>
      </c>
    </row>
    <row r="27" spans="1:7" ht="12" customHeight="1" thickBot="1">
      <c r="A27" s="60" t="s">
        <v>464</v>
      </c>
      <c r="B27" s="1">
        <v>8000</v>
      </c>
      <c r="C27" s="1">
        <v>1</v>
      </c>
      <c r="D27" s="1">
        <v>1</v>
      </c>
      <c r="E27" s="1">
        <v>1</v>
      </c>
      <c r="F27" s="320">
        <f aca="true" t="shared" si="1" ref="F27:F37">ROUND(B27*C27*D27*E27,2)</f>
        <v>8000</v>
      </c>
      <c r="G27" t="s">
        <v>335</v>
      </c>
    </row>
    <row r="28" spans="1:7" ht="24" customHeight="1" thickBot="1">
      <c r="A28" s="60" t="s">
        <v>465</v>
      </c>
      <c r="B28" s="1">
        <f>4250+12560</f>
        <v>16810</v>
      </c>
      <c r="C28" s="1">
        <v>1</v>
      </c>
      <c r="D28" s="1">
        <v>1</v>
      </c>
      <c r="E28" s="1">
        <v>1</v>
      </c>
      <c r="F28" s="320">
        <f t="shared" si="1"/>
        <v>16810</v>
      </c>
      <c r="G28" t="s">
        <v>335</v>
      </c>
    </row>
    <row r="29" spans="1:7" ht="12" customHeight="1" thickBot="1">
      <c r="A29" s="287" t="s">
        <v>466</v>
      </c>
      <c r="B29" s="1">
        <v>1800</v>
      </c>
      <c r="C29" s="1">
        <v>1</v>
      </c>
      <c r="D29" s="1">
        <v>1</v>
      </c>
      <c r="E29" s="1">
        <v>1</v>
      </c>
      <c r="F29" s="320">
        <f t="shared" si="1"/>
        <v>1800</v>
      </c>
      <c r="G29" t="s">
        <v>335</v>
      </c>
    </row>
    <row r="30" spans="1:6" ht="12" customHeight="1" hidden="1" thickBot="1">
      <c r="A30" s="287" t="s">
        <v>408</v>
      </c>
      <c r="B30" s="1"/>
      <c r="C30" s="1">
        <v>1</v>
      </c>
      <c r="D30" s="1">
        <v>1</v>
      </c>
      <c r="E30" s="1">
        <v>1</v>
      </c>
      <c r="F30" s="320">
        <f t="shared" si="1"/>
        <v>0</v>
      </c>
    </row>
    <row r="31" spans="1:6" ht="12" customHeight="1" hidden="1" thickBot="1">
      <c r="A31" s="287" t="s">
        <v>404</v>
      </c>
      <c r="B31" s="1"/>
      <c r="C31" s="1">
        <v>1</v>
      </c>
      <c r="D31" s="1">
        <v>1</v>
      </c>
      <c r="E31" s="1">
        <v>1</v>
      </c>
      <c r="F31" s="320">
        <f t="shared" si="1"/>
        <v>0</v>
      </c>
    </row>
    <row r="32" spans="1:6" ht="12" customHeight="1" hidden="1" thickBot="1">
      <c r="A32" s="287" t="s">
        <v>403</v>
      </c>
      <c r="B32" s="1"/>
      <c r="C32" s="1">
        <v>1</v>
      </c>
      <c r="D32" s="1">
        <v>1</v>
      </c>
      <c r="E32" s="1">
        <v>1</v>
      </c>
      <c r="F32" s="320">
        <f t="shared" si="1"/>
        <v>0</v>
      </c>
    </row>
    <row r="33" spans="1:6" ht="12.75" customHeight="1" hidden="1" thickBot="1">
      <c r="A33" s="287" t="s">
        <v>402</v>
      </c>
      <c r="B33" s="1"/>
      <c r="C33" s="1">
        <v>1</v>
      </c>
      <c r="D33" s="1">
        <v>1</v>
      </c>
      <c r="E33" s="1">
        <v>1</v>
      </c>
      <c r="F33" s="320">
        <f t="shared" si="1"/>
        <v>0</v>
      </c>
    </row>
    <row r="34" spans="1:6" ht="14.25" customHeight="1" hidden="1" thickBot="1">
      <c r="A34" s="287" t="s">
        <v>392</v>
      </c>
      <c r="B34" s="1"/>
      <c r="C34" s="1">
        <v>1</v>
      </c>
      <c r="D34" s="1">
        <v>1</v>
      </c>
      <c r="E34" s="1">
        <v>1</v>
      </c>
      <c r="F34" s="320">
        <f t="shared" si="1"/>
        <v>0</v>
      </c>
    </row>
    <row r="35" spans="1:7" ht="14.25" customHeight="1" thickBot="1">
      <c r="A35" s="287" t="s">
        <v>391</v>
      </c>
      <c r="B35" s="1">
        <v>5500</v>
      </c>
      <c r="C35" s="1">
        <v>1</v>
      </c>
      <c r="D35" s="1">
        <v>12</v>
      </c>
      <c r="E35" s="1">
        <v>1</v>
      </c>
      <c r="F35" s="320">
        <f t="shared" si="1"/>
        <v>66000</v>
      </c>
      <c r="G35" t="s">
        <v>335</v>
      </c>
    </row>
    <row r="36" spans="1:7" ht="23.25" customHeight="1" thickBot="1">
      <c r="A36" s="287" t="s">
        <v>453</v>
      </c>
      <c r="B36" s="1">
        <v>671</v>
      </c>
      <c r="C36" s="1">
        <v>1</v>
      </c>
      <c r="D36" s="1">
        <v>12</v>
      </c>
      <c r="E36" s="1">
        <v>1</v>
      </c>
      <c r="F36" s="320">
        <f t="shared" si="1"/>
        <v>8052</v>
      </c>
      <c r="G36" t="s">
        <v>335</v>
      </c>
    </row>
    <row r="37" spans="1:7" ht="24" customHeight="1">
      <c r="A37" s="45" t="s">
        <v>391</v>
      </c>
      <c r="B37" s="1">
        <v>1601.19</v>
      </c>
      <c r="C37" s="1">
        <v>1</v>
      </c>
      <c r="D37" s="1">
        <v>12</v>
      </c>
      <c r="E37" s="1">
        <v>1</v>
      </c>
      <c r="F37" s="320">
        <f t="shared" si="1"/>
        <v>19214.28</v>
      </c>
      <c r="G37" t="s">
        <v>335</v>
      </c>
    </row>
    <row r="38" spans="1:8" ht="13.5" thickBot="1">
      <c r="A38" s="62" t="s">
        <v>130</v>
      </c>
      <c r="B38" s="56"/>
      <c r="C38" s="56"/>
      <c r="D38" s="56"/>
      <c r="E38" s="56"/>
      <c r="F38" s="61">
        <f>ROUND(SUM(F6:F37),2)</f>
        <v>642689.15</v>
      </c>
      <c r="H38" s="26"/>
    </row>
    <row r="39" spans="1:7" ht="12.75">
      <c r="A39" s="22"/>
      <c r="B39" s="13"/>
      <c r="C39" s="13"/>
      <c r="D39" s="13"/>
      <c r="E39" s="13"/>
      <c r="F39" s="155"/>
      <c r="G39" s="13"/>
    </row>
    <row r="40" spans="1:6" ht="12.75" hidden="1">
      <c r="A40" s="22"/>
      <c r="B40" s="13"/>
      <c r="C40" s="13"/>
      <c r="D40" s="13"/>
      <c r="E40" s="13"/>
      <c r="F40" s="13"/>
    </row>
    <row r="41" spans="1:6" ht="12.75" hidden="1">
      <c r="A41" s="22"/>
      <c r="B41" s="13"/>
      <c r="C41" s="13"/>
      <c r="D41" s="13"/>
      <c r="E41" s="13"/>
      <c r="F41" s="13"/>
    </row>
    <row r="42" spans="1:6" ht="12.75" hidden="1">
      <c r="A42" s="22"/>
      <c r="B42" s="13"/>
      <c r="C42" s="13"/>
      <c r="D42" s="13"/>
      <c r="E42" s="13"/>
      <c r="F42" s="13"/>
    </row>
    <row r="43" spans="1:6" ht="12.75" hidden="1">
      <c r="A43" s="22"/>
      <c r="B43" s="13"/>
      <c r="C43" s="13"/>
      <c r="D43" s="13"/>
      <c r="E43" s="13"/>
      <c r="F43" s="13"/>
    </row>
    <row r="44" spans="1:6" ht="12.75" hidden="1">
      <c r="A44" s="22"/>
      <c r="B44" s="13"/>
      <c r="C44" s="13"/>
      <c r="D44" s="13"/>
      <c r="E44" s="13"/>
      <c r="F44" s="13"/>
    </row>
    <row r="45" spans="1:6" ht="12.75">
      <c r="A45" s="22"/>
      <c r="B45" s="13"/>
      <c r="C45" s="13"/>
      <c r="D45" s="13"/>
      <c r="E45" s="13"/>
      <c r="F45" s="13"/>
    </row>
    <row r="46" spans="1:6" ht="12.75">
      <c r="A46" s="22"/>
      <c r="B46" s="13"/>
      <c r="C46" s="13"/>
      <c r="D46" s="13"/>
      <c r="E46" s="13"/>
      <c r="F46" s="13"/>
    </row>
    <row r="47" ht="12.75">
      <c r="A47" s="2"/>
    </row>
    <row r="48" spans="1:6" ht="32.25" customHeight="1">
      <c r="A48" s="602" t="s">
        <v>17</v>
      </c>
      <c r="B48" s="603"/>
      <c r="C48" s="603"/>
      <c r="D48" s="603"/>
      <c r="E48" s="603"/>
      <c r="F48" s="603"/>
    </row>
    <row r="49" ht="13.5" thickBot="1">
      <c r="A49" s="2"/>
    </row>
    <row r="50" spans="1:6" ht="25.5">
      <c r="A50" s="57"/>
      <c r="B50" s="53" t="s">
        <v>13</v>
      </c>
      <c r="C50" s="53" t="s">
        <v>14</v>
      </c>
      <c r="D50" s="53" t="s">
        <v>0</v>
      </c>
      <c r="E50" s="43" t="s">
        <v>1</v>
      </c>
      <c r="F50" s="54" t="s">
        <v>15</v>
      </c>
    </row>
    <row r="51" spans="1:6" ht="25.5" hidden="1">
      <c r="A51" s="45" t="s">
        <v>61</v>
      </c>
      <c r="B51" s="434"/>
      <c r="C51" s="1">
        <v>3</v>
      </c>
      <c r="D51" s="1">
        <v>10</v>
      </c>
      <c r="E51" s="1">
        <v>1</v>
      </c>
      <c r="F51" s="59">
        <f aca="true" t="shared" si="2" ref="F51:F59">ROUND(B51*C51*D51*E51,2)</f>
        <v>0</v>
      </c>
    </row>
    <row r="52" spans="1:6" ht="25.5">
      <c r="A52" s="45" t="s">
        <v>61</v>
      </c>
      <c r="B52" s="1">
        <v>247.8</v>
      </c>
      <c r="C52" s="1">
        <v>3</v>
      </c>
      <c r="D52" s="1">
        <v>12</v>
      </c>
      <c r="E52" s="1">
        <v>1</v>
      </c>
      <c r="F52" s="59">
        <f t="shared" si="2"/>
        <v>8920.8</v>
      </c>
    </row>
    <row r="53" spans="1:6" ht="12.75">
      <c r="A53" s="45" t="s">
        <v>62</v>
      </c>
      <c r="B53" s="1">
        <v>0.52</v>
      </c>
      <c r="C53" s="1">
        <v>1983</v>
      </c>
      <c r="D53" s="1">
        <v>12</v>
      </c>
      <c r="E53" s="1">
        <v>1</v>
      </c>
      <c r="F53" s="59">
        <f t="shared" si="2"/>
        <v>12373.92</v>
      </c>
    </row>
    <row r="54" spans="1:6" ht="12.75" hidden="1">
      <c r="A54" s="45" t="s">
        <v>62</v>
      </c>
      <c r="B54" s="1"/>
      <c r="C54" s="1"/>
      <c r="D54" s="1"/>
      <c r="E54" s="1">
        <v>1</v>
      </c>
      <c r="F54" s="59">
        <f t="shared" si="2"/>
        <v>0</v>
      </c>
    </row>
    <row r="55" spans="1:6" ht="12" customHeight="1" hidden="1">
      <c r="A55" s="45" t="s">
        <v>62</v>
      </c>
      <c r="B55" s="1"/>
      <c r="C55" s="1"/>
      <c r="D55" s="1"/>
      <c r="E55" s="1">
        <v>1</v>
      </c>
      <c r="F55" s="59">
        <f t="shared" si="2"/>
        <v>0</v>
      </c>
    </row>
    <row r="56" spans="1:6" ht="12.75" customHeight="1" hidden="1">
      <c r="A56" s="45" t="s">
        <v>62</v>
      </c>
      <c r="B56" s="1"/>
      <c r="C56" s="1"/>
      <c r="D56" s="1"/>
      <c r="E56" s="1">
        <v>1</v>
      </c>
      <c r="F56" s="59">
        <f t="shared" si="2"/>
        <v>0</v>
      </c>
    </row>
    <row r="57" spans="1:6" ht="12.75">
      <c r="A57" s="45" t="s">
        <v>62</v>
      </c>
      <c r="B57" s="1"/>
      <c r="C57" s="1"/>
      <c r="D57" s="1"/>
      <c r="E57" s="1"/>
      <c r="F57" s="59">
        <f t="shared" si="2"/>
        <v>0</v>
      </c>
    </row>
    <row r="58" spans="1:6" ht="12.75">
      <c r="A58" s="45" t="s">
        <v>454</v>
      </c>
      <c r="B58" s="1">
        <v>3245</v>
      </c>
      <c r="C58" s="1">
        <v>1</v>
      </c>
      <c r="D58" s="1">
        <v>12</v>
      </c>
      <c r="E58" s="1">
        <v>1</v>
      </c>
      <c r="F58" s="59">
        <f>ROUND(B58*C58*D58*E58,2)</f>
        <v>38940</v>
      </c>
    </row>
    <row r="59" spans="1:6" ht="12.75">
      <c r="A59" s="45" t="s">
        <v>60</v>
      </c>
      <c r="B59" s="1"/>
      <c r="C59" s="1">
        <v>1</v>
      </c>
      <c r="D59" s="1">
        <v>1</v>
      </c>
      <c r="E59" s="1">
        <v>1</v>
      </c>
      <c r="F59" s="59">
        <f t="shared" si="2"/>
        <v>0</v>
      </c>
    </row>
    <row r="60" spans="1:6" ht="12.75">
      <c r="A60" s="45" t="s">
        <v>59</v>
      </c>
      <c r="B60" s="1"/>
      <c r="C60" s="1"/>
      <c r="D60" s="1"/>
      <c r="E60" s="1"/>
      <c r="F60" s="138">
        <f>ROUND((F51+F53+F58+F57+F56+F52+F59),0)</f>
        <v>60235</v>
      </c>
    </row>
    <row r="61" spans="1:6" ht="27" customHeight="1" thickBot="1">
      <c r="A61" s="47" t="s">
        <v>18</v>
      </c>
      <c r="B61" s="56"/>
      <c r="C61" s="56"/>
      <c r="D61" s="56"/>
      <c r="E61" s="56"/>
      <c r="F61" s="61">
        <f>ROUND(B61*C61*D61*E61,2)</f>
        <v>0</v>
      </c>
    </row>
    <row r="62" ht="12.75">
      <c r="A62" s="2"/>
    </row>
    <row r="63" ht="12.75">
      <c r="A63" s="2"/>
    </row>
    <row r="64" ht="12.75">
      <c r="A64" s="2"/>
    </row>
    <row r="66" spans="1:4" ht="18.75">
      <c r="A66" s="141" t="s">
        <v>123</v>
      </c>
      <c r="B66" s="142"/>
      <c r="C66" s="142"/>
      <c r="D66" s="143"/>
    </row>
    <row r="67" spans="1:4" ht="45">
      <c r="A67" s="137" t="s">
        <v>121</v>
      </c>
      <c r="B67" s="321" t="s">
        <v>14</v>
      </c>
      <c r="C67" s="321" t="s">
        <v>13</v>
      </c>
      <c r="D67" s="137" t="s">
        <v>124</v>
      </c>
    </row>
    <row r="68" spans="1:4" ht="15">
      <c r="A68" s="156" t="s">
        <v>422</v>
      </c>
      <c r="B68" s="133">
        <v>1</v>
      </c>
      <c r="C68" s="133">
        <v>227532.66</v>
      </c>
      <c r="D68" s="1">
        <f aca="true" t="shared" si="3" ref="D68:D75">B68*C68</f>
        <v>227532.66</v>
      </c>
    </row>
    <row r="69" spans="1:4" ht="15">
      <c r="A69" s="156" t="s">
        <v>467</v>
      </c>
      <c r="B69" s="133">
        <v>1</v>
      </c>
      <c r="C69" s="133">
        <v>88870</v>
      </c>
      <c r="D69" s="1">
        <f t="shared" si="3"/>
        <v>88870</v>
      </c>
    </row>
    <row r="70" spans="1:4" ht="15">
      <c r="A70" s="133" t="s">
        <v>423</v>
      </c>
      <c r="B70" s="133">
        <v>1</v>
      </c>
      <c r="C70" s="133">
        <v>66879.2</v>
      </c>
      <c r="D70" s="1">
        <f t="shared" si="3"/>
        <v>66879.2</v>
      </c>
    </row>
    <row r="71" spans="1:4" ht="14.25" customHeight="1">
      <c r="A71" s="133" t="s">
        <v>468</v>
      </c>
      <c r="B71" s="133">
        <v>1</v>
      </c>
      <c r="C71" s="133">
        <v>271601.14</v>
      </c>
      <c r="D71" s="1">
        <f t="shared" si="3"/>
        <v>271601.14</v>
      </c>
    </row>
    <row r="72" spans="1:4" ht="14.25" customHeight="1">
      <c r="A72" s="133"/>
      <c r="B72" s="133"/>
      <c r="C72" s="133"/>
      <c r="D72" s="1"/>
    </row>
    <row r="73" spans="1:4" ht="14.25" customHeight="1">
      <c r="A73" s="133"/>
      <c r="B73" s="133"/>
      <c r="C73" s="133"/>
      <c r="D73" s="1">
        <f t="shared" si="3"/>
        <v>0</v>
      </c>
    </row>
    <row r="74" spans="1:4" ht="14.25" customHeight="1">
      <c r="A74" s="133"/>
      <c r="B74" s="133"/>
      <c r="C74" s="133"/>
      <c r="D74" s="1">
        <f t="shared" si="3"/>
        <v>0</v>
      </c>
    </row>
    <row r="75" spans="1:4" ht="14.25" customHeight="1">
      <c r="A75" s="133"/>
      <c r="B75" s="133"/>
      <c r="C75" s="133"/>
      <c r="D75" s="1">
        <f t="shared" si="3"/>
        <v>0</v>
      </c>
    </row>
    <row r="76" spans="1:5" ht="14.25">
      <c r="A76" s="134" t="s">
        <v>77</v>
      </c>
      <c r="B76" s="134"/>
      <c r="C76" s="134"/>
      <c r="D76" s="1">
        <f>ROUND(SUM(D68:D75),2)</f>
        <v>654883</v>
      </c>
      <c r="E76" t="s">
        <v>335</v>
      </c>
    </row>
    <row r="77" spans="1:4" ht="14.25">
      <c r="A77" s="391"/>
      <c r="B77" s="391"/>
      <c r="C77" s="391"/>
      <c r="D77" s="13"/>
    </row>
    <row r="78" spans="1:4" ht="14.25">
      <c r="A78" s="391"/>
      <c r="B78" s="391"/>
      <c r="C78" s="391"/>
      <c r="D78" s="13"/>
    </row>
    <row r="79" spans="1:4" ht="14.25">
      <c r="A79" s="391"/>
      <c r="B79" s="391"/>
      <c r="C79" s="391"/>
      <c r="D79" s="13"/>
    </row>
    <row r="80" spans="1:4" ht="14.25">
      <c r="A80" s="391"/>
      <c r="B80" s="391"/>
      <c r="C80" s="391"/>
      <c r="D80" s="13"/>
    </row>
    <row r="81" spans="1:4" ht="14.25">
      <c r="A81" s="391"/>
      <c r="B81" s="391"/>
      <c r="C81" s="391"/>
      <c r="D81" s="13"/>
    </row>
    <row r="82" spans="1:4" ht="14.25">
      <c r="A82" s="391"/>
      <c r="B82" s="391"/>
      <c r="C82" s="391"/>
      <c r="D82" s="13"/>
    </row>
    <row r="83" spans="1:4" ht="14.25">
      <c r="A83" s="391"/>
      <c r="B83" s="391"/>
      <c r="C83" s="391"/>
      <c r="D83" s="13"/>
    </row>
    <row r="84" spans="1:4" ht="14.25">
      <c r="A84" s="391"/>
      <c r="B84" s="391"/>
      <c r="C84" s="391"/>
      <c r="D84" s="13"/>
    </row>
    <row r="85" spans="1:6" ht="18.75">
      <c r="A85" s="604" t="s">
        <v>68</v>
      </c>
      <c r="B85" s="605"/>
      <c r="C85" s="605"/>
      <c r="D85" s="605"/>
      <c r="E85" s="605"/>
      <c r="F85" s="605"/>
    </row>
    <row r="86" ht="13.5" thickBot="1"/>
    <row r="87" spans="1:6" ht="25.5">
      <c r="A87" s="57"/>
      <c r="B87" s="53" t="s">
        <v>13</v>
      </c>
      <c r="C87" s="53" t="s">
        <v>14</v>
      </c>
      <c r="D87" s="53" t="s">
        <v>0</v>
      </c>
      <c r="E87" s="43" t="s">
        <v>1</v>
      </c>
      <c r="F87" s="54" t="s">
        <v>15</v>
      </c>
    </row>
    <row r="88" spans="1:6" ht="12.75">
      <c r="A88" s="45" t="s">
        <v>125</v>
      </c>
      <c r="B88" s="1">
        <v>1350</v>
      </c>
      <c r="C88" s="1">
        <v>157</v>
      </c>
      <c r="D88" s="1">
        <v>1</v>
      </c>
      <c r="E88" s="1">
        <v>1</v>
      </c>
      <c r="F88" s="289">
        <f aca="true" t="shared" si="4" ref="F88:F102">ROUND(B88*C88*D88*E88,2)</f>
        <v>211950</v>
      </c>
    </row>
    <row r="89" spans="1:6" ht="12.75">
      <c r="A89" s="45" t="s">
        <v>125</v>
      </c>
      <c r="B89" s="1">
        <v>1160</v>
      </c>
      <c r="C89" s="1">
        <v>19</v>
      </c>
      <c r="D89" s="1">
        <v>1</v>
      </c>
      <c r="E89" s="1">
        <v>1</v>
      </c>
      <c r="F89" s="59">
        <f t="shared" si="4"/>
        <v>22040</v>
      </c>
    </row>
    <row r="90" spans="1:6" ht="12.75" hidden="1">
      <c r="A90" s="45" t="s">
        <v>125</v>
      </c>
      <c r="B90" s="1"/>
      <c r="C90" s="1"/>
      <c r="D90" s="1"/>
      <c r="E90" s="1"/>
      <c r="F90" s="288"/>
    </row>
    <row r="91" spans="1:6" ht="12.75" hidden="1">
      <c r="A91" s="45" t="s">
        <v>125</v>
      </c>
      <c r="B91" s="1"/>
      <c r="C91" s="1"/>
      <c r="D91" s="1"/>
      <c r="E91" s="1"/>
      <c r="F91" s="288"/>
    </row>
    <row r="92" spans="1:6" ht="12.75" hidden="1">
      <c r="A92" s="45" t="s">
        <v>131</v>
      </c>
      <c r="B92" s="1"/>
      <c r="C92" s="1"/>
      <c r="D92" s="1"/>
      <c r="E92" s="1"/>
      <c r="F92" s="288"/>
    </row>
    <row r="93" spans="1:6" ht="12.75" customHeight="1">
      <c r="A93" s="45" t="s">
        <v>419</v>
      </c>
      <c r="B93" s="1">
        <v>120</v>
      </c>
      <c r="C93" s="1">
        <v>20</v>
      </c>
      <c r="D93" s="1">
        <v>1</v>
      </c>
      <c r="E93" s="1">
        <v>1</v>
      </c>
      <c r="F93" s="288">
        <f>B93*C93*D93</f>
        <v>2400</v>
      </c>
    </row>
    <row r="94" spans="1:6" ht="25.5">
      <c r="A94" s="60" t="s">
        <v>379</v>
      </c>
      <c r="B94" s="1">
        <v>1648</v>
      </c>
      <c r="C94" s="1">
        <v>1</v>
      </c>
      <c r="D94" s="1">
        <v>12</v>
      </c>
      <c r="E94" s="1">
        <v>1</v>
      </c>
      <c r="F94" s="288">
        <f t="shared" si="4"/>
        <v>19776</v>
      </c>
    </row>
    <row r="95" spans="1:6" ht="12.75" customHeight="1" hidden="1">
      <c r="A95" s="45"/>
      <c r="B95" s="1"/>
      <c r="C95" s="1">
        <v>1</v>
      </c>
      <c r="D95" s="1">
        <v>1</v>
      </c>
      <c r="E95" s="1">
        <v>1</v>
      </c>
      <c r="F95" s="59">
        <f t="shared" si="4"/>
        <v>0</v>
      </c>
    </row>
    <row r="96" spans="1:6" ht="12.75" hidden="1">
      <c r="A96" s="45"/>
      <c r="B96" s="1"/>
      <c r="C96" s="1"/>
      <c r="D96" s="1"/>
      <c r="E96" s="1"/>
      <c r="F96" s="59">
        <f t="shared" si="4"/>
        <v>0</v>
      </c>
    </row>
    <row r="97" spans="1:6" ht="12.75" hidden="1">
      <c r="A97" s="45"/>
      <c r="B97" s="1"/>
      <c r="C97" s="1"/>
      <c r="D97" s="1"/>
      <c r="E97" s="1"/>
      <c r="F97" s="59">
        <f t="shared" si="4"/>
        <v>0</v>
      </c>
    </row>
    <row r="98" spans="1:6" ht="12.75" hidden="1">
      <c r="A98" s="45"/>
      <c r="B98" s="1"/>
      <c r="C98" s="1"/>
      <c r="D98" s="1"/>
      <c r="E98" s="1"/>
      <c r="F98" s="59">
        <f t="shared" si="4"/>
        <v>0</v>
      </c>
    </row>
    <row r="99" spans="1:6" ht="15.75" customHeight="1">
      <c r="A99" s="45" t="s">
        <v>455</v>
      </c>
      <c r="B99" s="1">
        <v>32389.45</v>
      </c>
      <c r="C99" s="1">
        <v>1</v>
      </c>
      <c r="D99" s="1">
        <v>1</v>
      </c>
      <c r="E99" s="1">
        <v>1</v>
      </c>
      <c r="F99" s="59">
        <f>B99*C99*D99</f>
        <v>32389.45</v>
      </c>
    </row>
    <row r="100" spans="1:6" ht="15.75" customHeight="1" hidden="1">
      <c r="A100" s="45" t="s">
        <v>455</v>
      </c>
      <c r="B100" s="1"/>
      <c r="C100" s="1">
        <v>10</v>
      </c>
      <c r="D100" s="1">
        <v>3</v>
      </c>
      <c r="E100" s="1">
        <v>1</v>
      </c>
      <c r="F100" s="59">
        <f t="shared" si="4"/>
        <v>0</v>
      </c>
    </row>
    <row r="101" spans="1:6" ht="26.25" customHeight="1">
      <c r="A101" s="45" t="s">
        <v>420</v>
      </c>
      <c r="B101" s="1">
        <v>5884.4</v>
      </c>
      <c r="C101" s="1">
        <v>1</v>
      </c>
      <c r="D101" s="1">
        <v>1</v>
      </c>
      <c r="E101" s="1">
        <v>1</v>
      </c>
      <c r="F101" s="59">
        <f t="shared" si="4"/>
        <v>5884.4</v>
      </c>
    </row>
    <row r="102" spans="1:6" ht="25.5">
      <c r="A102" s="292" t="s">
        <v>373</v>
      </c>
      <c r="B102" s="361">
        <v>2500</v>
      </c>
      <c r="C102" s="361">
        <v>1</v>
      </c>
      <c r="D102" s="361">
        <v>1</v>
      </c>
      <c r="E102" s="361">
        <v>1</v>
      </c>
      <c r="F102" s="59">
        <f t="shared" si="4"/>
        <v>2500</v>
      </c>
    </row>
    <row r="103" spans="1:6" ht="13.5" thickBot="1">
      <c r="A103" s="47" t="s">
        <v>59</v>
      </c>
      <c r="B103" s="56"/>
      <c r="C103" s="56"/>
      <c r="D103" s="56"/>
      <c r="E103" s="56"/>
      <c r="F103" s="313">
        <f>ROUND(SUM(F88:F102),2)</f>
        <v>296939.85</v>
      </c>
    </row>
    <row r="104" ht="12.75">
      <c r="H104" s="139"/>
    </row>
    <row r="107" spans="1:82" s="15" customFormat="1" ht="12.75">
      <c r="A107" s="127" t="s">
        <v>120</v>
      </c>
      <c r="C107" s="128"/>
      <c r="D107" s="11" t="s">
        <v>389</v>
      </c>
      <c r="E107" s="152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</row>
    <row r="108" spans="8:82" s="15" customFormat="1" ht="12.75"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</row>
    <row r="109" spans="8:82" s="15" customFormat="1" ht="12.75"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</row>
    <row r="110" spans="1:82" s="15" customFormat="1" ht="12.75">
      <c r="A110" t="s">
        <v>105</v>
      </c>
      <c r="D110" s="11" t="s">
        <v>390</v>
      </c>
      <c r="E110" s="152" t="s">
        <v>71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</row>
    <row r="111" spans="7:82" s="15" customFormat="1" ht="12.75"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</row>
  </sheetData>
  <sheetProtection/>
  <mergeCells count="4">
    <mergeCell ref="A2:F2"/>
    <mergeCell ref="A48:F48"/>
    <mergeCell ref="A85:F85"/>
    <mergeCell ref="E1:F1"/>
  </mergeCells>
  <printOptions/>
  <pageMargins left="1.1811023622047245" right="0" top="0.7480314960629921" bottom="0.7480314960629921" header="0.31496062992125984" footer="0.31496062992125984"/>
  <pageSetup horizontalDpi="600" verticalDpi="600" orientation="portrait" paperSize="9" scale="72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37">
      <selection activeCell="D52" sqref="D52"/>
    </sheetView>
  </sheetViews>
  <sheetFormatPr defaultColWidth="9.00390625" defaultRowHeight="12.75"/>
  <cols>
    <col min="1" max="1" width="23.375" style="0" customWidth="1"/>
    <col min="2" max="2" width="16.875" style="0" customWidth="1"/>
    <col min="3" max="4" width="12.875" style="0" customWidth="1"/>
    <col min="5" max="5" width="13.00390625" style="0" customWidth="1"/>
    <col min="6" max="6" width="12.00390625" style="0" customWidth="1"/>
  </cols>
  <sheetData>
    <row r="1" spans="5:6" ht="12.75">
      <c r="E1" s="606" t="s">
        <v>100</v>
      </c>
      <c r="F1" s="606"/>
    </row>
    <row r="2" spans="1:6" ht="18.75">
      <c r="A2" s="601" t="s">
        <v>85</v>
      </c>
      <c r="B2" s="601"/>
      <c r="C2" s="601"/>
      <c r="D2" s="601"/>
      <c r="E2" s="601"/>
      <c r="F2" s="601"/>
    </row>
    <row r="3" spans="1:6" s="13" customFormat="1" ht="12.75">
      <c r="A3" s="12"/>
      <c r="B3" s="12"/>
      <c r="C3" s="12"/>
      <c r="D3" s="12"/>
      <c r="E3" s="12"/>
      <c r="F3" s="12"/>
    </row>
    <row r="4" spans="1:6" ht="13.5" thickBot="1">
      <c r="A4" s="12"/>
      <c r="B4" s="12"/>
      <c r="C4" s="12"/>
      <c r="D4" s="12"/>
      <c r="E4" s="12"/>
      <c r="F4" s="12"/>
    </row>
    <row r="5" spans="1:6" s="2" customFormat="1" ht="25.5">
      <c r="A5" s="57"/>
      <c r="B5" s="53" t="s">
        <v>13</v>
      </c>
      <c r="C5" s="53" t="s">
        <v>14</v>
      </c>
      <c r="D5" s="53" t="s">
        <v>0</v>
      </c>
      <c r="E5" s="43" t="s">
        <v>1</v>
      </c>
      <c r="F5" s="54" t="s">
        <v>15</v>
      </c>
    </row>
    <row r="6" spans="1:6" ht="12.75">
      <c r="A6" s="58" t="s">
        <v>79</v>
      </c>
      <c r="B6" s="1"/>
      <c r="C6" s="1"/>
      <c r="D6" s="1"/>
      <c r="E6" s="1">
        <v>1</v>
      </c>
      <c r="F6" s="59">
        <f>ROUND(B6*C6*D6*E6,2)</f>
        <v>0</v>
      </c>
    </row>
    <row r="7" spans="1:6" ht="12.75">
      <c r="A7" s="58" t="s">
        <v>80</v>
      </c>
      <c r="B7" s="1"/>
      <c r="C7" s="1"/>
      <c r="D7" s="1"/>
      <c r="E7" s="1">
        <v>1</v>
      </c>
      <c r="F7" s="59">
        <f>ROUND(B7*C7*D7*E7,2)</f>
        <v>0</v>
      </c>
    </row>
    <row r="8" spans="1:6" ht="12.75" hidden="1">
      <c r="A8" s="45" t="s">
        <v>64</v>
      </c>
      <c r="B8" s="1"/>
      <c r="C8" s="1">
        <v>1</v>
      </c>
      <c r="D8" s="1">
        <v>1</v>
      </c>
      <c r="E8" s="1">
        <v>1.065</v>
      </c>
      <c r="F8" s="59">
        <f>ROUND(B8*C8*D8*E8,2)</f>
        <v>0</v>
      </c>
    </row>
    <row r="9" spans="1:6" ht="25.5" hidden="1">
      <c r="A9" s="45" t="s">
        <v>65</v>
      </c>
      <c r="B9" s="1"/>
      <c r="C9" s="1">
        <v>1</v>
      </c>
      <c r="D9" s="1">
        <v>12</v>
      </c>
      <c r="E9" s="1">
        <v>1</v>
      </c>
      <c r="F9" s="59">
        <f>ROUND(B9*C9*D9*E9,2)</f>
        <v>0</v>
      </c>
    </row>
    <row r="10" spans="1:6" ht="12.75" hidden="1">
      <c r="A10" s="60" t="s">
        <v>19</v>
      </c>
      <c r="B10" s="1"/>
      <c r="C10" s="1"/>
      <c r="D10" s="1"/>
      <c r="E10" s="1"/>
      <c r="F10" s="59">
        <f>SUM(F6:F9)</f>
        <v>0</v>
      </c>
    </row>
    <row r="11" spans="1:6" ht="12.75" hidden="1">
      <c r="A11" s="60" t="s">
        <v>66</v>
      </c>
      <c r="B11" s="1"/>
      <c r="C11" s="1">
        <v>1</v>
      </c>
      <c r="D11" s="1">
        <v>12</v>
      </c>
      <c r="E11" s="1">
        <v>1.065</v>
      </c>
      <c r="F11" s="59">
        <f>ROUND(B11*C11*D11*E11,2)</f>
        <v>0</v>
      </c>
    </row>
    <row r="12" spans="1:6" ht="38.25" hidden="1">
      <c r="A12" s="60" t="s">
        <v>67</v>
      </c>
      <c r="B12" s="1"/>
      <c r="C12" s="1">
        <v>1</v>
      </c>
      <c r="D12" s="1">
        <v>1</v>
      </c>
      <c r="E12" s="1">
        <v>1</v>
      </c>
      <c r="F12" s="59">
        <f>ROUND(B12*C12*D12*E12,2)</f>
        <v>0</v>
      </c>
    </row>
    <row r="13" spans="1:6" ht="12.75" hidden="1">
      <c r="A13" s="60"/>
      <c r="B13" s="1"/>
      <c r="C13" s="1"/>
      <c r="D13" s="1"/>
      <c r="E13" s="1"/>
      <c r="F13" s="59"/>
    </row>
    <row r="14" spans="1:6" ht="12.75" hidden="1">
      <c r="A14" s="60"/>
      <c r="B14" s="1"/>
      <c r="C14" s="1"/>
      <c r="D14" s="1"/>
      <c r="E14" s="1"/>
      <c r="F14" s="59"/>
    </row>
    <row r="15" spans="1:6" ht="12.75" hidden="1">
      <c r="A15" s="60"/>
      <c r="B15" s="1"/>
      <c r="C15" s="1"/>
      <c r="D15" s="1"/>
      <c r="E15" s="1"/>
      <c r="F15" s="59"/>
    </row>
    <row r="16" spans="1:6" ht="12.75" hidden="1">
      <c r="A16" s="60"/>
      <c r="B16" s="1"/>
      <c r="C16" s="1"/>
      <c r="D16" s="1"/>
      <c r="E16" s="1"/>
      <c r="F16" s="59"/>
    </row>
    <row r="17" spans="1:6" ht="12.75" hidden="1">
      <c r="A17" s="60"/>
      <c r="B17" s="1"/>
      <c r="C17" s="1"/>
      <c r="D17" s="1"/>
      <c r="E17" s="1"/>
      <c r="F17" s="59"/>
    </row>
    <row r="18" spans="1:6" ht="12.75" hidden="1">
      <c r="A18" s="60"/>
      <c r="B18" s="1"/>
      <c r="C18" s="1"/>
      <c r="D18" s="1"/>
      <c r="E18" s="1"/>
      <c r="F18" s="59"/>
    </row>
    <row r="19" spans="1:6" ht="12.75" hidden="1">
      <c r="A19" s="60"/>
      <c r="B19" s="1"/>
      <c r="C19" s="1"/>
      <c r="D19" s="1"/>
      <c r="E19" s="1"/>
      <c r="F19" s="59"/>
    </row>
    <row r="20" spans="1:6" ht="12.75" hidden="1">
      <c r="A20" s="60"/>
      <c r="B20" s="1"/>
      <c r="C20" s="1"/>
      <c r="D20" s="1"/>
      <c r="E20" s="1"/>
      <c r="F20" s="59"/>
    </row>
    <row r="21" spans="1:6" ht="12.75" hidden="1">
      <c r="A21" s="60"/>
      <c r="B21" s="1"/>
      <c r="C21" s="1"/>
      <c r="D21" s="1"/>
      <c r="E21" s="1"/>
      <c r="F21" s="59"/>
    </row>
    <row r="22" spans="1:6" ht="13.5" thickBot="1">
      <c r="A22" s="62"/>
      <c r="B22" s="56"/>
      <c r="C22" s="56"/>
      <c r="D22" s="56"/>
      <c r="E22" s="56"/>
      <c r="F22" s="61"/>
    </row>
    <row r="23" spans="1:6" ht="32.25" customHeight="1">
      <c r="A23" s="601" t="s">
        <v>86</v>
      </c>
      <c r="B23" s="607"/>
      <c r="C23" s="607"/>
      <c r="D23" s="607"/>
      <c r="E23" s="607"/>
      <c r="F23" s="607"/>
    </row>
    <row r="24" ht="13.5" thickBot="1">
      <c r="A24" s="2"/>
    </row>
    <row r="25" spans="1:6" ht="25.5">
      <c r="A25" s="57"/>
      <c r="B25" s="53" t="s">
        <v>13</v>
      </c>
      <c r="C25" s="53" t="s">
        <v>14</v>
      </c>
      <c r="D25" s="53" t="s">
        <v>0</v>
      </c>
      <c r="E25" s="43" t="s">
        <v>1</v>
      </c>
      <c r="F25" s="54" t="s">
        <v>15</v>
      </c>
    </row>
    <row r="26" spans="1:6" ht="12.75">
      <c r="A26" s="58" t="s">
        <v>81</v>
      </c>
      <c r="B26" s="1"/>
      <c r="C26" s="1"/>
      <c r="D26" s="1"/>
      <c r="E26" s="1">
        <v>1</v>
      </c>
      <c r="F26" s="59">
        <f>ROUND(B26*C26*D26*E26,2)</f>
        <v>0</v>
      </c>
    </row>
    <row r="27" spans="1:6" ht="12.75">
      <c r="A27" s="58" t="s">
        <v>82</v>
      </c>
      <c r="B27" s="1"/>
      <c r="C27" s="1"/>
      <c r="D27" s="1"/>
      <c r="E27" s="1">
        <v>1</v>
      </c>
      <c r="F27" s="59">
        <f>ROUND(B27*C27*D27*E27,2)</f>
        <v>0</v>
      </c>
    </row>
    <row r="28" spans="1:6" ht="12.75">
      <c r="A28" s="58" t="s">
        <v>83</v>
      </c>
      <c r="B28" s="1"/>
      <c r="C28" s="1"/>
      <c r="D28" s="1"/>
      <c r="E28" s="1">
        <v>1</v>
      </c>
      <c r="F28" s="59">
        <f>ROUND(B28*C28*D28*E28,2)</f>
        <v>0</v>
      </c>
    </row>
    <row r="29" spans="1:6" ht="13.5" thickBot="1">
      <c r="A29" s="47" t="s">
        <v>59</v>
      </c>
      <c r="B29" s="56"/>
      <c r="C29" s="56"/>
      <c r="D29" s="56"/>
      <c r="E29" s="56"/>
      <c r="F29" s="61">
        <f>F26+F27+F28</f>
        <v>0</v>
      </c>
    </row>
    <row r="30" ht="12.75">
      <c r="A30" s="2"/>
    </row>
    <row r="31" ht="12.75">
      <c r="A31" s="2"/>
    </row>
    <row r="32" spans="1:6" ht="37.5" customHeight="1">
      <c r="A32" s="608" t="s">
        <v>87</v>
      </c>
      <c r="B32" s="609"/>
      <c r="C32" s="609"/>
      <c r="D32" s="609"/>
      <c r="E32" s="609"/>
      <c r="F32" s="610"/>
    </row>
    <row r="33" ht="12.75">
      <c r="A33" s="3"/>
    </row>
    <row r="34" ht="13.5" thickBot="1">
      <c r="A34" s="3"/>
    </row>
    <row r="35" spans="1:6" ht="51">
      <c r="A35" s="52"/>
      <c r="B35" s="53" t="s">
        <v>6</v>
      </c>
      <c r="C35" s="53" t="s">
        <v>7</v>
      </c>
      <c r="D35" s="53"/>
      <c r="E35" s="53"/>
      <c r="F35" s="54" t="s">
        <v>8</v>
      </c>
    </row>
    <row r="36" spans="1:6" ht="12.75">
      <c r="A36" s="58" t="s">
        <v>84</v>
      </c>
      <c r="B36" s="1"/>
      <c r="C36" s="1">
        <v>1</v>
      </c>
      <c r="D36" s="1"/>
      <c r="E36" s="1"/>
      <c r="F36" s="59">
        <f>ROUND(B36*C36,2)</f>
        <v>0</v>
      </c>
    </row>
    <row r="37" spans="1:6" ht="13.5" thickBot="1">
      <c r="A37" s="63"/>
      <c r="B37" s="56"/>
      <c r="C37" s="56"/>
      <c r="D37" s="56"/>
      <c r="E37" s="56"/>
      <c r="F37" s="61">
        <f>ROUND(B37*C37*D37*E37,2)</f>
        <v>0</v>
      </c>
    </row>
    <row r="40" spans="1:6" ht="18.75">
      <c r="A40" s="604" t="s">
        <v>88</v>
      </c>
      <c r="B40" s="605"/>
      <c r="C40" s="605"/>
      <c r="D40" s="605"/>
      <c r="E40" s="605"/>
      <c r="F40" s="605"/>
    </row>
    <row r="41" ht="13.5" thickBot="1"/>
    <row r="42" spans="1:6" ht="25.5">
      <c r="A42" s="57"/>
      <c r="B42" s="53" t="s">
        <v>13</v>
      </c>
      <c r="C42" s="53" t="s">
        <v>14</v>
      </c>
      <c r="D42" s="53" t="s">
        <v>0</v>
      </c>
      <c r="E42" s="43" t="s">
        <v>1</v>
      </c>
      <c r="F42" s="54" t="s">
        <v>15</v>
      </c>
    </row>
    <row r="43" spans="1:6" ht="12.75">
      <c r="A43" s="45"/>
      <c r="B43" s="1"/>
      <c r="C43" s="1"/>
      <c r="D43" s="1"/>
      <c r="E43" s="1"/>
      <c r="F43" s="59">
        <f>ROUND(B43*C43*D43*E43,2)</f>
        <v>0</v>
      </c>
    </row>
    <row r="44" spans="1:6" ht="12.75">
      <c r="A44" s="45"/>
      <c r="B44" s="1"/>
      <c r="C44" s="1"/>
      <c r="D44" s="1"/>
      <c r="E44" s="1"/>
      <c r="F44" s="59">
        <f>ROUND(B44*C44*D44*E44,2)</f>
        <v>0</v>
      </c>
    </row>
    <row r="45" spans="1:6" ht="13.5" thickBot="1">
      <c r="A45" s="47"/>
      <c r="B45" s="56"/>
      <c r="C45" s="56"/>
      <c r="D45" s="56"/>
      <c r="E45" s="56"/>
      <c r="F45" s="61">
        <f>ROUND(B45*C45*D45*E45,2)</f>
        <v>0</v>
      </c>
    </row>
    <row r="49" spans="1:82" s="15" customFormat="1" ht="12.75">
      <c r="A49" s="127" t="s">
        <v>120</v>
      </c>
      <c r="C49" s="128"/>
      <c r="D49" s="11"/>
      <c r="E49" s="152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</row>
    <row r="50" spans="8:82" s="15" customFormat="1" ht="12.75"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</row>
    <row r="51" spans="8:82" s="15" customFormat="1" ht="12.75"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</row>
    <row r="52" spans="1:82" s="15" customFormat="1" ht="12.75">
      <c r="A52" t="s">
        <v>105</v>
      </c>
      <c r="D52" s="11"/>
      <c r="E52" s="152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</row>
    <row r="53" spans="7:82" s="15" customFormat="1" ht="12.75"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</row>
  </sheetData>
  <sheetProtection/>
  <mergeCells count="5">
    <mergeCell ref="A40:F40"/>
    <mergeCell ref="E1:F1"/>
    <mergeCell ref="A2:F2"/>
    <mergeCell ref="A23:F23"/>
    <mergeCell ref="A32:F32"/>
  </mergeCells>
  <printOptions/>
  <pageMargins left="1.1811023622047245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1"/>
  <sheetViews>
    <sheetView view="pageBreakPreview" zoomScaleSheetLayoutView="100" zoomScalePageLayoutView="0" workbookViewId="0" topLeftCell="A19">
      <selection activeCell="F7" sqref="F7"/>
    </sheetView>
  </sheetViews>
  <sheetFormatPr defaultColWidth="9.00390625" defaultRowHeight="12.75"/>
  <cols>
    <col min="1" max="1" width="27.75390625" style="3" customWidth="1"/>
    <col min="2" max="2" width="10.875" style="3" customWidth="1"/>
    <col min="3" max="3" width="13.375" style="0" customWidth="1"/>
    <col min="4" max="4" width="13.625" style="0" customWidth="1"/>
    <col min="5" max="5" width="10.25390625" style="0" customWidth="1"/>
    <col min="6" max="6" width="15.375" style="0" customWidth="1"/>
    <col min="7" max="7" width="12.00390625" style="0" customWidth="1"/>
    <col min="8" max="8" width="11.75390625" style="0" bestFit="1" customWidth="1"/>
  </cols>
  <sheetData>
    <row r="1" ht="12.75">
      <c r="F1" s="11"/>
    </row>
    <row r="2" spans="1:6" ht="15">
      <c r="A2" s="611" t="s">
        <v>12</v>
      </c>
      <c r="B2" s="611"/>
      <c r="C2" s="611"/>
      <c r="D2" s="611"/>
      <c r="E2" s="611"/>
      <c r="F2" s="611"/>
    </row>
    <row r="4" ht="13.5" thickBot="1"/>
    <row r="5" spans="1:6" s="2" customFormat="1" ht="63.75">
      <c r="A5" s="52"/>
      <c r="B5" s="66" t="s">
        <v>101</v>
      </c>
      <c r="C5" s="53" t="s">
        <v>7</v>
      </c>
      <c r="D5" s="53" t="s">
        <v>114</v>
      </c>
      <c r="E5" s="140" t="s">
        <v>1</v>
      </c>
      <c r="F5" s="54" t="s">
        <v>90</v>
      </c>
    </row>
    <row r="6" spans="1:6" ht="12.75" hidden="1">
      <c r="A6" s="45" t="s">
        <v>57</v>
      </c>
      <c r="B6" s="67" t="s">
        <v>102</v>
      </c>
      <c r="C6" s="68"/>
      <c r="D6" s="68"/>
      <c r="E6" s="68">
        <v>1</v>
      </c>
      <c r="F6" s="69">
        <f>ROUND(C6*D6*E6,2)</f>
        <v>0</v>
      </c>
    </row>
    <row r="7" spans="1:6" ht="12.75">
      <c r="A7" s="45" t="s">
        <v>57</v>
      </c>
      <c r="B7" s="67" t="s">
        <v>102</v>
      </c>
      <c r="C7" s="388">
        <v>527</v>
      </c>
      <c r="D7" s="388">
        <v>18.42</v>
      </c>
      <c r="E7" s="387">
        <v>1.18</v>
      </c>
      <c r="F7" s="69">
        <f>C7*D7</f>
        <v>9707.34</v>
      </c>
    </row>
    <row r="8" spans="1:6" ht="12.75">
      <c r="A8" s="45" t="s">
        <v>57</v>
      </c>
      <c r="B8" s="67" t="s">
        <v>102</v>
      </c>
      <c r="C8" s="388">
        <v>359</v>
      </c>
      <c r="D8" s="388">
        <v>21.16</v>
      </c>
      <c r="E8" s="387">
        <v>1.18</v>
      </c>
      <c r="F8" s="69">
        <f aca="true" t="shared" si="0" ref="F8:F27">C8*D8</f>
        <v>7596.44</v>
      </c>
    </row>
    <row r="9" spans="1:6" ht="13.5" customHeight="1">
      <c r="A9" s="45" t="s">
        <v>57</v>
      </c>
      <c r="B9" s="67" t="s">
        <v>102</v>
      </c>
      <c r="C9" s="388">
        <v>1417</v>
      </c>
      <c r="D9" s="388">
        <v>18.42</v>
      </c>
      <c r="E9" s="387">
        <v>1.18</v>
      </c>
      <c r="F9" s="69">
        <f t="shared" si="0"/>
        <v>26101.140000000003</v>
      </c>
    </row>
    <row r="10" spans="1:6" ht="12.75" customHeight="1">
      <c r="A10" s="45" t="s">
        <v>57</v>
      </c>
      <c r="B10" s="67" t="s">
        <v>102</v>
      </c>
      <c r="C10" s="388">
        <v>841</v>
      </c>
      <c r="D10" s="388">
        <v>21.16</v>
      </c>
      <c r="E10" s="387">
        <v>1.18</v>
      </c>
      <c r="F10" s="69">
        <f t="shared" si="0"/>
        <v>17795.56</v>
      </c>
    </row>
    <row r="11" spans="1:7" ht="12.75" customHeight="1">
      <c r="A11" s="45" t="s">
        <v>57</v>
      </c>
      <c r="B11" s="67" t="s">
        <v>102</v>
      </c>
      <c r="C11" s="388">
        <v>1376</v>
      </c>
      <c r="D11" s="388">
        <v>18.42</v>
      </c>
      <c r="E11" s="387">
        <v>1.18</v>
      </c>
      <c r="F11" s="69">
        <f t="shared" si="0"/>
        <v>25345.920000000002</v>
      </c>
      <c r="G11" s="33"/>
    </row>
    <row r="12" spans="1:7" ht="12.75" customHeight="1">
      <c r="A12" s="45" t="s">
        <v>57</v>
      </c>
      <c r="B12" s="67" t="s">
        <v>102</v>
      </c>
      <c r="C12" s="388">
        <v>841</v>
      </c>
      <c r="D12" s="388">
        <v>21.16</v>
      </c>
      <c r="E12" s="387">
        <v>1.18</v>
      </c>
      <c r="F12" s="69">
        <f t="shared" si="0"/>
        <v>17795.56</v>
      </c>
      <c r="G12" s="33"/>
    </row>
    <row r="13" spans="1:7" ht="12.75">
      <c r="A13" s="45" t="s">
        <v>56</v>
      </c>
      <c r="B13" s="67" t="s">
        <v>102</v>
      </c>
      <c r="C13" s="388">
        <v>599</v>
      </c>
      <c r="D13" s="388">
        <v>12.22</v>
      </c>
      <c r="E13" s="387">
        <v>1.18</v>
      </c>
      <c r="F13" s="69">
        <f t="shared" si="0"/>
        <v>7319.780000000001</v>
      </c>
      <c r="G13" s="33"/>
    </row>
    <row r="14" spans="1:6" ht="12.75">
      <c r="A14" s="45" t="s">
        <v>56</v>
      </c>
      <c r="B14" s="67" t="s">
        <v>102</v>
      </c>
      <c r="C14" s="388">
        <v>785</v>
      </c>
      <c r="D14" s="388">
        <v>14.04</v>
      </c>
      <c r="E14" s="387">
        <v>1.18</v>
      </c>
      <c r="F14" s="69">
        <f t="shared" si="0"/>
        <v>11021.4</v>
      </c>
    </row>
    <row r="15" spans="1:6" ht="12.75">
      <c r="A15" s="45" t="s">
        <v>56</v>
      </c>
      <c r="B15" s="67" t="s">
        <v>102</v>
      </c>
      <c r="C15" s="388">
        <v>1523</v>
      </c>
      <c r="D15" s="388">
        <v>12.22</v>
      </c>
      <c r="E15" s="387">
        <v>1.18</v>
      </c>
      <c r="F15" s="402">
        <f t="shared" si="0"/>
        <v>18611.06</v>
      </c>
    </row>
    <row r="16" spans="1:6" ht="12.75">
      <c r="A16" s="45" t="s">
        <v>56</v>
      </c>
      <c r="B16" s="67" t="s">
        <v>102</v>
      </c>
      <c r="C16" s="388">
        <v>1095</v>
      </c>
      <c r="D16" s="388">
        <v>14.04</v>
      </c>
      <c r="E16" s="387">
        <v>1.18</v>
      </c>
      <c r="F16" s="402">
        <f t="shared" si="0"/>
        <v>15373.8</v>
      </c>
    </row>
    <row r="17" spans="1:6" ht="12.75">
      <c r="A17" s="45" t="s">
        <v>56</v>
      </c>
      <c r="B17" s="67" t="s">
        <v>102</v>
      </c>
      <c r="C17" s="388">
        <v>1495</v>
      </c>
      <c r="D17" s="388">
        <v>12.22</v>
      </c>
      <c r="E17" s="387">
        <v>1.18</v>
      </c>
      <c r="F17" s="402">
        <f t="shared" si="0"/>
        <v>18268.9</v>
      </c>
    </row>
    <row r="18" spans="1:6" ht="12.75">
      <c r="A18" s="45" t="s">
        <v>56</v>
      </c>
      <c r="B18" s="67" t="s">
        <v>102</v>
      </c>
      <c r="C18" s="396">
        <v>1376.172</v>
      </c>
      <c r="D18" s="388">
        <v>14.04</v>
      </c>
      <c r="E18" s="387">
        <v>1.18</v>
      </c>
      <c r="F18" s="69">
        <f t="shared" si="0"/>
        <v>19321.454879999998</v>
      </c>
    </row>
    <row r="19" spans="1:7" ht="12.75">
      <c r="A19" s="55" t="s">
        <v>9</v>
      </c>
      <c r="B19" s="67" t="s">
        <v>102</v>
      </c>
      <c r="C19" s="388">
        <v>1300</v>
      </c>
      <c r="D19" s="388">
        <v>121.92</v>
      </c>
      <c r="E19" s="68"/>
      <c r="F19" s="69">
        <f t="shared" si="0"/>
        <v>158496</v>
      </c>
      <c r="G19" s="33"/>
    </row>
    <row r="20" spans="1:6" ht="12.75" customHeight="1">
      <c r="A20" s="55" t="s">
        <v>9</v>
      </c>
      <c r="B20" s="67" t="s">
        <v>102</v>
      </c>
      <c r="C20" s="388">
        <v>980</v>
      </c>
      <c r="D20" s="388">
        <v>134.8</v>
      </c>
      <c r="E20" s="68"/>
      <c r="F20" s="69">
        <f t="shared" si="0"/>
        <v>132104</v>
      </c>
    </row>
    <row r="21" spans="1:6" ht="12.75">
      <c r="A21" s="55" t="s">
        <v>9</v>
      </c>
      <c r="B21" s="70" t="s">
        <v>102</v>
      </c>
      <c r="C21" s="388">
        <v>1200</v>
      </c>
      <c r="D21" s="388">
        <v>121.92</v>
      </c>
      <c r="E21" s="68"/>
      <c r="F21" s="69">
        <f t="shared" si="0"/>
        <v>146304</v>
      </c>
    </row>
    <row r="22" spans="1:6" ht="12.75">
      <c r="A22" s="55" t="s">
        <v>9</v>
      </c>
      <c r="B22" s="70" t="s">
        <v>102</v>
      </c>
      <c r="C22" s="396">
        <v>739.7918</v>
      </c>
      <c r="D22" s="388">
        <v>134.8</v>
      </c>
      <c r="E22" s="68"/>
      <c r="F22" s="69">
        <f t="shared" si="0"/>
        <v>99723.93464</v>
      </c>
    </row>
    <row r="23" spans="1:8" ht="12.75">
      <c r="A23" s="55" t="s">
        <v>10</v>
      </c>
      <c r="B23" s="70" t="s">
        <v>103</v>
      </c>
      <c r="C23" s="388">
        <v>220</v>
      </c>
      <c r="D23" s="388">
        <v>1568.23</v>
      </c>
      <c r="E23" s="68"/>
      <c r="F23" s="69">
        <f t="shared" si="0"/>
        <v>345010.6</v>
      </c>
      <c r="G23" s="33"/>
      <c r="H23" s="157"/>
    </row>
    <row r="24" spans="1:8" ht="12.75">
      <c r="A24" s="55" t="s">
        <v>10</v>
      </c>
      <c r="B24" s="70" t="s">
        <v>103</v>
      </c>
      <c r="C24" s="388">
        <v>174</v>
      </c>
      <c r="D24" s="388">
        <v>1721.92</v>
      </c>
      <c r="E24" s="68"/>
      <c r="F24" s="69">
        <f t="shared" si="0"/>
        <v>299614.08</v>
      </c>
      <c r="H24" s="157"/>
    </row>
    <row r="25" spans="1:8" ht="12.75">
      <c r="A25" s="55" t="s">
        <v>10</v>
      </c>
      <c r="B25" s="70" t="s">
        <v>103</v>
      </c>
      <c r="C25" s="388">
        <v>410</v>
      </c>
      <c r="D25" s="388">
        <v>1568.23</v>
      </c>
      <c r="E25" s="68"/>
      <c r="F25" s="69">
        <f t="shared" si="0"/>
        <v>642974.3</v>
      </c>
      <c r="H25" s="157"/>
    </row>
    <row r="26" spans="1:8" ht="12.75">
      <c r="A26" s="55" t="s">
        <v>10</v>
      </c>
      <c r="B26" s="70" t="s">
        <v>103</v>
      </c>
      <c r="C26" s="435">
        <v>98.3878635</v>
      </c>
      <c r="D26" s="388">
        <v>1721.92</v>
      </c>
      <c r="E26" s="68"/>
      <c r="F26" s="402">
        <f t="shared" si="0"/>
        <v>169416.02991792</v>
      </c>
      <c r="H26" s="157"/>
    </row>
    <row r="27" spans="1:8" ht="12.75">
      <c r="A27" s="55" t="s">
        <v>10</v>
      </c>
      <c r="B27" s="70" t="s">
        <v>103</v>
      </c>
      <c r="C27" s="388">
        <v>160</v>
      </c>
      <c r="D27" s="388">
        <v>1454.3</v>
      </c>
      <c r="E27" s="68"/>
      <c r="F27" s="69">
        <f t="shared" si="0"/>
        <v>232688</v>
      </c>
      <c r="H27" s="157"/>
    </row>
    <row r="28" spans="1:8" ht="12.75">
      <c r="A28" s="55" t="s">
        <v>10</v>
      </c>
      <c r="B28" s="70" t="s">
        <v>103</v>
      </c>
      <c r="C28" s="435">
        <v>68.7555991</v>
      </c>
      <c r="D28" s="388">
        <v>1596.23</v>
      </c>
      <c r="E28" s="68"/>
      <c r="F28" s="402">
        <f>C28*D28</f>
        <v>109749.749951393</v>
      </c>
      <c r="H28" s="157"/>
    </row>
    <row r="29" spans="1:8" ht="38.25">
      <c r="A29" s="45" t="s">
        <v>127</v>
      </c>
      <c r="B29" s="70" t="s">
        <v>104</v>
      </c>
      <c r="C29" s="68"/>
      <c r="D29" s="388">
        <v>862173.36</v>
      </c>
      <c r="E29" s="68"/>
      <c r="F29" s="69">
        <f>D29</f>
        <v>862173.36</v>
      </c>
      <c r="H29" s="157"/>
    </row>
    <row r="30" spans="1:8" ht="26.25" thickBot="1">
      <c r="A30" s="47" t="s">
        <v>415</v>
      </c>
      <c r="B30" s="286" t="s">
        <v>102</v>
      </c>
      <c r="C30" s="71"/>
      <c r="D30" s="71">
        <v>66378.38</v>
      </c>
      <c r="E30" s="71"/>
      <c r="F30" s="72">
        <f>D30</f>
        <v>66378.38</v>
      </c>
      <c r="H30" s="157"/>
    </row>
    <row r="31" spans="1:8" ht="36.75" customHeight="1" thickBot="1">
      <c r="A31" s="310" t="s">
        <v>127</v>
      </c>
      <c r="B31" s="311" t="s">
        <v>102</v>
      </c>
      <c r="C31" s="312"/>
      <c r="D31" s="312">
        <v>51609.22</v>
      </c>
      <c r="E31" s="312"/>
      <c r="F31" s="72">
        <f>D31</f>
        <v>51609.22</v>
      </c>
      <c r="H31" s="157"/>
    </row>
    <row r="32" ht="21.75" customHeight="1" hidden="1" thickBot="1">
      <c r="F32" s="33"/>
    </row>
    <row r="33" spans="3:8" ht="12.75">
      <c r="C33" s="33"/>
      <c r="H33" s="33"/>
    </row>
    <row r="34" spans="3:8" ht="12.75">
      <c r="C34" s="33"/>
      <c r="H34" s="33"/>
    </row>
    <row r="35" ht="12.75">
      <c r="C35" s="33"/>
    </row>
    <row r="36" spans="1:8" ht="12.75">
      <c r="A36" s="127" t="s">
        <v>120</v>
      </c>
      <c r="B36" s="15"/>
      <c r="C36" s="128"/>
      <c r="D36" s="11" t="s">
        <v>389</v>
      </c>
      <c r="E36" s="152"/>
      <c r="F36" s="15"/>
      <c r="H36" s="33"/>
    </row>
    <row r="37" spans="7:81" s="15" customFormat="1" ht="12.75"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</row>
    <row r="38" spans="7:81" s="15" customFormat="1" ht="12.75"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</row>
    <row r="39" spans="1:81" s="15" customFormat="1" ht="12.75">
      <c r="A39" t="s">
        <v>105</v>
      </c>
      <c r="D39" s="11" t="s">
        <v>390</v>
      </c>
      <c r="E39" s="152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</row>
    <row r="40" spans="6:81" s="15" customFormat="1" ht="12.75"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</row>
    <row r="41" spans="1:81" s="15" customFormat="1" ht="12.75">
      <c r="A41" s="3"/>
      <c r="B41" s="3"/>
      <c r="C41"/>
      <c r="D41"/>
      <c r="E41"/>
      <c r="F4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</row>
  </sheetData>
  <sheetProtection/>
  <mergeCells count="1">
    <mergeCell ref="A2:F2"/>
  </mergeCells>
  <printOptions/>
  <pageMargins left="1.1811023622047245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23"/>
  <sheetViews>
    <sheetView view="pageBreakPreview" zoomScaleSheetLayoutView="100" zoomScalePageLayoutView="0" workbookViewId="0" topLeftCell="A1">
      <selection activeCell="D7" sqref="D7:D13"/>
    </sheetView>
  </sheetViews>
  <sheetFormatPr defaultColWidth="9.00390625" defaultRowHeight="12.75"/>
  <cols>
    <col min="1" max="1" width="47.125" style="0" customWidth="1"/>
    <col min="2" max="2" width="15.75390625" style="0" customWidth="1"/>
    <col min="3" max="3" width="14.125" style="0" customWidth="1"/>
    <col min="4" max="4" width="16.75390625" style="0" customWidth="1"/>
    <col min="6" max="6" width="13.25390625" style="0" customWidth="1"/>
  </cols>
  <sheetData>
    <row r="1" spans="5:6" ht="12.75">
      <c r="E1" s="612" t="s">
        <v>117</v>
      </c>
      <c r="F1" s="612"/>
    </row>
    <row r="2" spans="1:4" ht="18.75">
      <c r="A2" s="604" t="s">
        <v>22</v>
      </c>
      <c r="B2" s="606"/>
      <c r="C2" s="606"/>
      <c r="D2" s="606"/>
    </row>
    <row r="3" spans="1:4" ht="18.75">
      <c r="A3" s="14"/>
      <c r="B3" s="11"/>
      <c r="C3" s="11"/>
      <c r="D3" s="11"/>
    </row>
    <row r="4" spans="1:4" ht="19.5" thickBot="1">
      <c r="A4" s="14"/>
      <c r="B4" s="11"/>
      <c r="C4" s="11"/>
      <c r="D4" s="11"/>
    </row>
    <row r="5" spans="1:4" s="10" customFormat="1" ht="48" customHeight="1">
      <c r="A5" s="64"/>
      <c r="B5" s="43" t="s">
        <v>20</v>
      </c>
      <c r="C5" s="65" t="s">
        <v>21</v>
      </c>
      <c r="D5" s="44" t="s">
        <v>22</v>
      </c>
    </row>
    <row r="6" spans="1:4" s="10" customFormat="1" ht="13.5" customHeight="1" hidden="1">
      <c r="A6" s="425"/>
      <c r="B6" s="409"/>
      <c r="C6" s="410"/>
      <c r="D6" s="415"/>
    </row>
    <row r="7" spans="1:4" ht="15.75" thickBot="1">
      <c r="A7" s="422" t="s">
        <v>414</v>
      </c>
      <c r="B7" s="426">
        <v>96892682</v>
      </c>
      <c r="C7" s="24">
        <v>0.022</v>
      </c>
      <c r="D7" s="61">
        <f aca="true" t="shared" si="0" ref="D7:D12">ROUND(B7*C7,2)</f>
        <v>2131639</v>
      </c>
    </row>
    <row r="8" spans="1:4" ht="15.75" hidden="1" thickBot="1">
      <c r="A8" s="422"/>
      <c r="B8" s="158"/>
      <c r="C8" s="24"/>
      <c r="D8" s="61">
        <f t="shared" si="0"/>
        <v>0</v>
      </c>
    </row>
    <row r="9" spans="1:4" ht="15.75" thickBot="1">
      <c r="A9" s="422" t="s">
        <v>413</v>
      </c>
      <c r="B9" s="426">
        <v>28398851.24</v>
      </c>
      <c r="C9" s="24">
        <v>0.015</v>
      </c>
      <c r="D9" s="61">
        <f>ROUND(B9*C9,2)+0.23</f>
        <v>425983</v>
      </c>
    </row>
    <row r="10" spans="1:4" ht="15.75" hidden="1" thickBot="1">
      <c r="A10" s="422"/>
      <c r="B10" s="158"/>
      <c r="C10" s="24"/>
      <c r="D10" s="61">
        <f t="shared" si="0"/>
        <v>0</v>
      </c>
    </row>
    <row r="11" spans="1:4" ht="15.75" thickBot="1">
      <c r="A11" s="423" t="s">
        <v>72</v>
      </c>
      <c r="B11" s="1"/>
      <c r="C11" s="24"/>
      <c r="D11" s="61">
        <f t="shared" si="0"/>
        <v>0</v>
      </c>
    </row>
    <row r="12" spans="1:4" ht="15.75" thickBot="1">
      <c r="A12" s="423" t="s">
        <v>73</v>
      </c>
      <c r="B12" s="1"/>
      <c r="C12" s="24"/>
      <c r="D12" s="61">
        <f t="shared" si="0"/>
        <v>0</v>
      </c>
    </row>
    <row r="13" spans="1:4" ht="15.75" thickBot="1">
      <c r="A13" s="424" t="s">
        <v>89</v>
      </c>
      <c r="B13" s="293">
        <f>2600+15948</f>
        <v>18548</v>
      </c>
      <c r="C13" s="56">
        <v>1</v>
      </c>
      <c r="D13" s="61">
        <f>ROUND(B13*C13,2)</f>
        <v>18548</v>
      </c>
    </row>
    <row r="19" spans="1:82" s="15" customFormat="1" ht="12.75">
      <c r="A19" s="127" t="s">
        <v>120</v>
      </c>
      <c r="C19" s="11" t="s">
        <v>389</v>
      </c>
      <c r="D19" s="11"/>
      <c r="E19" s="15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8:82" s="15" customFormat="1" ht="12.75"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  <row r="21" spans="8:82" s="15" customFormat="1" ht="12.75"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</row>
    <row r="22" spans="1:82" s="15" customFormat="1" ht="12.75">
      <c r="A22" t="s">
        <v>105</v>
      </c>
      <c r="C22" s="11" t="s">
        <v>390</v>
      </c>
      <c r="D22" s="11"/>
      <c r="E22" s="15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</row>
    <row r="23" spans="7:82" s="15" customFormat="1" ht="12.7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</row>
  </sheetData>
  <sheetProtection/>
  <mergeCells count="2">
    <mergeCell ref="A2:D2"/>
    <mergeCell ref="E1:F1"/>
  </mergeCells>
  <printOptions/>
  <pageMargins left="1.29921259842519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D167"/>
  <sheetViews>
    <sheetView view="pageBreakPreview" zoomScaleSheetLayoutView="100" zoomScalePageLayoutView="0" workbookViewId="0" topLeftCell="A137">
      <selection activeCell="G57" sqref="G57"/>
    </sheetView>
  </sheetViews>
  <sheetFormatPr defaultColWidth="9.00390625" defaultRowHeight="12.75"/>
  <cols>
    <col min="1" max="1" width="29.00390625" style="15" customWidth="1"/>
    <col min="2" max="2" width="20.125" style="15" customWidth="1"/>
    <col min="3" max="3" width="20.125" style="15" hidden="1" customWidth="1"/>
    <col min="4" max="4" width="25.875" style="15" customWidth="1"/>
    <col min="5" max="5" width="12.00390625" style="15" hidden="1" customWidth="1"/>
    <col min="6" max="6" width="25.875" style="15" customWidth="1"/>
    <col min="7" max="9" width="18.375" style="40" customWidth="1"/>
    <col min="10" max="82" width="9.125" style="40" customWidth="1"/>
    <col min="83" max="16384" width="9.125" style="15" customWidth="1"/>
  </cols>
  <sheetData>
    <row r="1" spans="1:6" ht="18.75">
      <c r="A1" s="604" t="s">
        <v>92</v>
      </c>
      <c r="B1" s="604"/>
      <c r="C1" s="604"/>
      <c r="D1" s="604"/>
      <c r="E1" s="604"/>
      <c r="F1" s="604"/>
    </row>
    <row r="2" spans="1:6" ht="62.25" customHeight="1">
      <c r="A2" s="619" t="s">
        <v>119</v>
      </c>
      <c r="B2" s="619"/>
      <c r="C2" s="619"/>
      <c r="D2" s="619"/>
      <c r="E2" s="619"/>
      <c r="F2" s="619"/>
    </row>
    <row r="3" spans="1:6" ht="37.5" customHeight="1">
      <c r="A3" s="620" t="s">
        <v>387</v>
      </c>
      <c r="B3" s="620"/>
      <c r="C3" s="620"/>
      <c r="D3" s="620"/>
      <c r="E3" s="620"/>
      <c r="F3" s="620"/>
    </row>
    <row r="5" spans="1:6" ht="44.25" customHeight="1">
      <c r="A5" s="602" t="s">
        <v>118</v>
      </c>
      <c r="B5" s="618"/>
      <c r="C5" s="618"/>
      <c r="D5" s="618"/>
      <c r="E5" s="618"/>
      <c r="F5" s="618"/>
    </row>
    <row r="6" spans="1:6" ht="31.5" customHeight="1">
      <c r="A6" s="38" t="s">
        <v>96</v>
      </c>
      <c r="B6" s="39"/>
      <c r="C6" s="39"/>
      <c r="D6" s="147">
        <f>'мун.задание'!P73</f>
        <v>916</v>
      </c>
      <c r="E6" s="39"/>
      <c r="F6" s="39"/>
    </row>
    <row r="7" spans="1:6" ht="40.5" customHeight="1" thickBot="1">
      <c r="A7" s="602" t="s">
        <v>23</v>
      </c>
      <c r="B7" s="618"/>
      <c r="C7" s="618"/>
      <c r="D7" s="618"/>
      <c r="E7" s="618"/>
      <c r="F7" s="618"/>
    </row>
    <row r="8" spans="1:6" ht="54.75" customHeight="1" thickBot="1">
      <c r="A8" s="73" t="s">
        <v>24</v>
      </c>
      <c r="B8" s="74" t="s">
        <v>25</v>
      </c>
      <c r="C8" s="74" t="s">
        <v>0</v>
      </c>
      <c r="D8" s="74" t="s">
        <v>26</v>
      </c>
      <c r="E8" s="74" t="s">
        <v>1</v>
      </c>
      <c r="F8" s="75" t="s">
        <v>27</v>
      </c>
    </row>
    <row r="9" spans="1:6" ht="42.75" customHeight="1" thickBot="1">
      <c r="A9" s="613" t="s">
        <v>93</v>
      </c>
      <c r="B9" s="614"/>
      <c r="C9" s="614"/>
      <c r="D9" s="614"/>
      <c r="E9" s="614"/>
      <c r="F9" s="615"/>
    </row>
    <row r="10" spans="1:6" ht="45">
      <c r="A10" s="76" t="s">
        <v>54</v>
      </c>
      <c r="B10" s="77" t="s">
        <v>45</v>
      </c>
      <c r="C10" s="78">
        <v>5</v>
      </c>
      <c r="D10" s="77">
        <f>ROUND(F10/$D$6,2)</f>
        <v>18481.8</v>
      </c>
      <c r="E10" s="77"/>
      <c r="F10" s="79">
        <f>F16</f>
        <v>16929326.67</v>
      </c>
    </row>
    <row r="11" spans="1:6" ht="54.75" customHeight="1">
      <c r="A11" s="80" t="s">
        <v>55</v>
      </c>
      <c r="B11" s="17" t="s">
        <v>45</v>
      </c>
      <c r="C11" s="21">
        <v>9</v>
      </c>
      <c r="D11" s="20">
        <f>ROUND(F11/$D$6,2)</f>
        <v>5581.5</v>
      </c>
      <c r="E11" s="17"/>
      <c r="F11" s="81">
        <f>F17</f>
        <v>5112656.65</v>
      </c>
    </row>
    <row r="12" spans="1:6" ht="45">
      <c r="A12" s="83" t="s">
        <v>47</v>
      </c>
      <c r="B12" s="17" t="s">
        <v>45</v>
      </c>
      <c r="C12" s="17"/>
      <c r="D12" s="20">
        <f>ROUND(F12/$D$6,2)</f>
        <v>335.36</v>
      </c>
      <c r="E12" s="17"/>
      <c r="F12" s="82">
        <f>F18</f>
        <v>307188</v>
      </c>
    </row>
    <row r="13" spans="1:6" ht="22.5">
      <c r="A13" s="375" t="s">
        <v>378</v>
      </c>
      <c r="B13" s="17" t="s">
        <v>45</v>
      </c>
      <c r="C13" s="21"/>
      <c r="D13" s="20">
        <f>ROUND(F13/$D$6,2)</f>
        <v>35.8</v>
      </c>
      <c r="E13" s="21"/>
      <c r="F13" s="374">
        <f>F19</f>
        <v>32793</v>
      </c>
    </row>
    <row r="14" spans="1:6" ht="13.5" thickBot="1">
      <c r="A14" s="84" t="s">
        <v>77</v>
      </c>
      <c r="B14" s="85"/>
      <c r="C14" s="85"/>
      <c r="D14" s="85">
        <f>ROUND(F14/$D$6,2)</f>
        <v>24434.46</v>
      </c>
      <c r="E14" s="85"/>
      <c r="F14" s="86">
        <f>SUM(F10:F13)</f>
        <v>22381964.32</v>
      </c>
    </row>
    <row r="15" spans="1:6" ht="45" customHeight="1" thickBot="1">
      <c r="A15" s="613" t="s">
        <v>375</v>
      </c>
      <c r="B15" s="614"/>
      <c r="C15" s="614"/>
      <c r="D15" s="614"/>
      <c r="E15" s="614"/>
      <c r="F15" s="615"/>
    </row>
    <row r="16" spans="1:6" ht="45.75" customHeight="1">
      <c r="A16" s="76" t="s">
        <v>54</v>
      </c>
      <c r="B16" s="77" t="s">
        <v>45</v>
      </c>
      <c r="C16" s="78">
        <v>5</v>
      </c>
      <c r="D16" s="77">
        <f>ROUND(F16/$D$6,2)</f>
        <v>18481.8</v>
      </c>
      <c r="E16" s="77"/>
      <c r="F16" s="79">
        <f>'прил.1+2'!G10</f>
        <v>16929326.67</v>
      </c>
    </row>
    <row r="17" spans="1:6" ht="58.5" customHeight="1">
      <c r="A17" s="80" t="s">
        <v>55</v>
      </c>
      <c r="B17" s="17" t="s">
        <v>45</v>
      </c>
      <c r="C17" s="21">
        <v>9</v>
      </c>
      <c r="D17" s="20">
        <f>ROUND(F17/$D$6,2)</f>
        <v>5581.5</v>
      </c>
      <c r="E17" s="17"/>
      <c r="F17" s="81">
        <f>'прил.1+2'!H10</f>
        <v>5112656.65</v>
      </c>
    </row>
    <row r="18" spans="1:6" ht="45">
      <c r="A18" s="83" t="s">
        <v>47</v>
      </c>
      <c r="B18" s="17" t="s">
        <v>45</v>
      </c>
      <c r="C18" s="17"/>
      <c r="D18" s="20">
        <f>ROUND(F18/$D$6,2)</f>
        <v>335.36</v>
      </c>
      <c r="E18" s="17"/>
      <c r="F18" s="82">
        <f>'прил.1+2'!F14</f>
        <v>307188</v>
      </c>
    </row>
    <row r="19" spans="1:6" ht="22.5">
      <c r="A19" s="375" t="str">
        <f>A13</f>
        <v> затраты на доп. проф. образование педагогических работников</v>
      </c>
      <c r="B19" s="17" t="s">
        <v>45</v>
      </c>
      <c r="C19" s="21"/>
      <c r="D19" s="20">
        <f>ROUND(F19/$D$6,2)</f>
        <v>35.8</v>
      </c>
      <c r="E19" s="21"/>
      <c r="F19" s="374">
        <f>'прил.1+2'!F15</f>
        <v>32793</v>
      </c>
    </row>
    <row r="20" spans="1:82" s="31" customFormat="1" ht="21.75" customHeight="1" thickBot="1">
      <c r="A20" s="84" t="s">
        <v>77</v>
      </c>
      <c r="B20" s="85"/>
      <c r="C20" s="85"/>
      <c r="D20" s="85">
        <f>ROUND(F20/D6,2)</f>
        <v>24434.46</v>
      </c>
      <c r="E20" s="85"/>
      <c r="F20" s="86">
        <f>SUM(F16:F19)</f>
        <v>22381964.32</v>
      </c>
      <c r="G20" s="40">
        <v>1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  <row r="21" spans="1:82" s="31" customFormat="1" ht="42" customHeight="1" thickBot="1">
      <c r="A21" s="613" t="s">
        <v>399</v>
      </c>
      <c r="B21" s="614"/>
      <c r="C21" s="614"/>
      <c r="D21" s="614"/>
      <c r="E21" s="614"/>
      <c r="F21" s="615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</row>
    <row r="22" spans="1:6" ht="48" customHeight="1">
      <c r="A22" s="76" t="s">
        <v>54</v>
      </c>
      <c r="B22" s="77" t="s">
        <v>45</v>
      </c>
      <c r="C22" s="78">
        <v>5</v>
      </c>
      <c r="D22" s="77" t="e">
        <f>ROUND(F22/$D$6,2)</f>
        <v>#DIV/0!</v>
      </c>
      <c r="E22" s="77"/>
      <c r="F22" s="79" t="e">
        <f>'прил.1+2'!G29</f>
        <v>#DIV/0!</v>
      </c>
    </row>
    <row r="23" spans="1:6" ht="48" customHeight="1">
      <c r="A23" s="80" t="s">
        <v>55</v>
      </c>
      <c r="B23" s="17" t="s">
        <v>45</v>
      </c>
      <c r="C23" s="21">
        <v>9</v>
      </c>
      <c r="D23" s="20" t="e">
        <f>ROUND(F23/$D$6,2)</f>
        <v>#DIV/0!</v>
      </c>
      <c r="E23" s="17"/>
      <c r="F23" s="81" t="e">
        <f>'прил.1+2'!H29</f>
        <v>#DIV/0!</v>
      </c>
    </row>
    <row r="24" spans="1:6" ht="43.5" customHeight="1" hidden="1">
      <c r="A24" s="83" t="s">
        <v>47</v>
      </c>
      <c r="B24" s="17" t="s">
        <v>45</v>
      </c>
      <c r="C24" s="17"/>
      <c r="D24" s="20">
        <f>ROUND(F24/$D$6,2)</f>
        <v>0</v>
      </c>
      <c r="E24" s="17"/>
      <c r="F24" s="82">
        <f>'прил.1+2'!F20</f>
        <v>0</v>
      </c>
    </row>
    <row r="25" spans="1:6" ht="48" customHeight="1" hidden="1">
      <c r="A25" s="375" t="str">
        <f>A19</f>
        <v> затраты на доп. проф. образование педагогических работников</v>
      </c>
      <c r="B25" s="17" t="s">
        <v>45</v>
      </c>
      <c r="C25" s="21"/>
      <c r="D25" s="20">
        <f>ROUND(F25/$D$6,2)</f>
        <v>0</v>
      </c>
      <c r="E25" s="21"/>
      <c r="F25" s="374">
        <f>'прил.1+2'!F21</f>
        <v>0</v>
      </c>
    </row>
    <row r="26" spans="1:6" ht="14.25" customHeight="1" thickBot="1">
      <c r="A26" s="84" t="s">
        <v>77</v>
      </c>
      <c r="B26" s="85"/>
      <c r="C26" s="85"/>
      <c r="D26" s="85" t="e">
        <f>ROUND(F26/D12,2)</f>
        <v>#DIV/0!</v>
      </c>
      <c r="E26" s="85"/>
      <c r="F26" s="86" t="e">
        <f>SUM(F22:F25)</f>
        <v>#DIV/0!</v>
      </c>
    </row>
    <row r="27" spans="1:6" ht="26.25" customHeight="1" hidden="1">
      <c r="A27" s="418"/>
      <c r="B27" s="419"/>
      <c r="C27" s="419"/>
      <c r="D27" s="419"/>
      <c r="E27" s="419"/>
      <c r="F27" s="420"/>
    </row>
    <row r="28" spans="1:82" s="31" customFormat="1" ht="26.25" customHeight="1">
      <c r="A28" s="630" t="s">
        <v>58</v>
      </c>
      <c r="B28" s="630"/>
      <c r="C28" s="630"/>
      <c r="D28" s="630"/>
      <c r="E28" s="630"/>
      <c r="F28" s="63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</row>
    <row r="29" spans="1:6" ht="48" customHeight="1" thickBot="1">
      <c r="A29" s="629" t="s">
        <v>106</v>
      </c>
      <c r="B29" s="629"/>
      <c r="C29" s="629"/>
      <c r="D29" s="629"/>
      <c r="E29" s="629"/>
      <c r="F29" s="629"/>
    </row>
    <row r="30" spans="1:6" ht="43.5" customHeight="1">
      <c r="A30" s="76" t="s">
        <v>53</v>
      </c>
      <c r="B30" s="77" t="s">
        <v>45</v>
      </c>
      <c r="C30" s="77">
        <v>5</v>
      </c>
      <c r="D30" s="77">
        <f>ROUND(F30/$D$6,2)</f>
        <v>21421.89</v>
      </c>
      <c r="E30" s="77">
        <v>1</v>
      </c>
      <c r="F30" s="79">
        <f>F36+F41</f>
        <v>19622454.330000002</v>
      </c>
    </row>
    <row r="31" spans="1:6" ht="48" customHeight="1" hidden="1">
      <c r="A31" s="87" t="s">
        <v>53</v>
      </c>
      <c r="B31" s="17" t="s">
        <v>45</v>
      </c>
      <c r="C31" s="21">
        <v>4</v>
      </c>
      <c r="D31" s="20"/>
      <c r="E31" s="17"/>
      <c r="F31" s="82"/>
    </row>
    <row r="32" spans="1:6" ht="54.75" customHeight="1">
      <c r="A32" s="87" t="s">
        <v>52</v>
      </c>
      <c r="B32" s="17" t="s">
        <v>45</v>
      </c>
      <c r="C32" s="21">
        <v>9</v>
      </c>
      <c r="D32" s="20">
        <f>ROUND(F32/$D$6,2)</f>
        <v>6469.41</v>
      </c>
      <c r="E32" s="17">
        <v>1</v>
      </c>
      <c r="F32" s="82">
        <f>F38+F42</f>
        <v>5925982.35</v>
      </c>
    </row>
    <row r="33" spans="1:82" s="31" customFormat="1" ht="26.25" customHeight="1">
      <c r="A33" s="80" t="s">
        <v>51</v>
      </c>
      <c r="B33" s="17" t="s">
        <v>45</v>
      </c>
      <c r="C33" s="21">
        <v>12</v>
      </c>
      <c r="D33" s="20">
        <f>ROUND(F33/$D$6,2)</f>
        <v>9.17</v>
      </c>
      <c r="E33" s="17">
        <v>1</v>
      </c>
      <c r="F33" s="82">
        <f>F43</f>
        <v>8400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</row>
    <row r="34" spans="1:82" s="31" customFormat="1" ht="52.5" customHeight="1" thickBot="1">
      <c r="A34" s="88" t="s">
        <v>77</v>
      </c>
      <c r="B34" s="85"/>
      <c r="C34" s="85"/>
      <c r="D34" s="86">
        <f>ROUND(F34/$D$6,2)</f>
        <v>27900.48</v>
      </c>
      <c r="E34" s="85"/>
      <c r="F34" s="86">
        <f>SUM(F30:F33)</f>
        <v>25556836.68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</row>
    <row r="35" spans="1:82" s="31" customFormat="1" ht="47.25" customHeight="1" thickBot="1">
      <c r="A35" s="616" t="s">
        <v>376</v>
      </c>
      <c r="B35" s="617"/>
      <c r="C35" s="617"/>
      <c r="D35" s="617"/>
      <c r="E35" s="617"/>
      <c r="F35" s="617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</row>
    <row r="36" spans="1:82" s="31" customFormat="1" ht="26.25" customHeight="1">
      <c r="A36" s="76" t="s">
        <v>53</v>
      </c>
      <c r="B36" s="77" t="s">
        <v>45</v>
      </c>
      <c r="C36" s="77">
        <v>5</v>
      </c>
      <c r="D36" s="77">
        <f>ROUND(F36/$D$6,2)</f>
        <v>18708.28</v>
      </c>
      <c r="E36" s="77">
        <v>1</v>
      </c>
      <c r="F36" s="79">
        <f>'прил.1+2'!G54</f>
        <v>17136786.330000002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</row>
    <row r="37" spans="1:82" s="31" customFormat="1" ht="45">
      <c r="A37" s="87" t="s">
        <v>53</v>
      </c>
      <c r="B37" s="17" t="s">
        <v>45</v>
      </c>
      <c r="C37" s="21">
        <v>4</v>
      </c>
      <c r="D37" s="20">
        <f>ROUND(F37/$D$6,2)</f>
        <v>0</v>
      </c>
      <c r="E37" s="17"/>
      <c r="F37" s="82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</row>
    <row r="38" spans="1:7" ht="21.75" customHeight="1">
      <c r="A38" s="87" t="s">
        <v>52</v>
      </c>
      <c r="B38" s="17" t="s">
        <v>45</v>
      </c>
      <c r="C38" s="21">
        <v>9</v>
      </c>
      <c r="D38" s="20">
        <f>ROUND(F38/$D$6,2)</f>
        <v>5649.9</v>
      </c>
      <c r="E38" s="17">
        <v>1</v>
      </c>
      <c r="F38" s="82">
        <f>'прил.1+2'!H54</f>
        <v>5175310.35</v>
      </c>
      <c r="G38" s="383"/>
    </row>
    <row r="39" spans="1:7" ht="13.5" thickBot="1">
      <c r="A39" s="88" t="s">
        <v>77</v>
      </c>
      <c r="B39" s="85"/>
      <c r="C39" s="85"/>
      <c r="D39" s="86">
        <f>ROUND(F39/$D$6,2)</f>
        <v>24358.18</v>
      </c>
      <c r="E39" s="85"/>
      <c r="F39" s="86">
        <f>SUM(F36:F38)</f>
        <v>22312096.68</v>
      </c>
      <c r="G39" s="40">
        <v>1</v>
      </c>
    </row>
    <row r="40" spans="1:6" ht="51" customHeight="1" thickBot="1">
      <c r="A40" s="616" t="s">
        <v>409</v>
      </c>
      <c r="B40" s="617"/>
      <c r="C40" s="617"/>
      <c r="D40" s="617"/>
      <c r="E40" s="617"/>
      <c r="F40" s="617"/>
    </row>
    <row r="41" spans="1:6" ht="45">
      <c r="A41" s="76" t="s">
        <v>53</v>
      </c>
      <c r="B41" s="77" t="s">
        <v>45</v>
      </c>
      <c r="C41" s="77">
        <v>5</v>
      </c>
      <c r="D41" s="77">
        <f>ROUND(F41/$D$6,2)</f>
        <v>2713.61</v>
      </c>
      <c r="E41" s="77">
        <v>1</v>
      </c>
      <c r="F41" s="79">
        <f>'прил.1+2'!G60</f>
        <v>2485668</v>
      </c>
    </row>
    <row r="42" spans="1:6" ht="45.75" thickBot="1">
      <c r="A42" s="87" t="s">
        <v>53</v>
      </c>
      <c r="B42" s="17" t="s">
        <v>45</v>
      </c>
      <c r="C42" s="21">
        <v>4</v>
      </c>
      <c r="D42" s="20">
        <f>ROUND(F42/$D$6,2)</f>
        <v>819.51</v>
      </c>
      <c r="E42" s="17"/>
      <c r="F42" s="82">
        <f>'прил.1+2'!H60</f>
        <v>750672</v>
      </c>
    </row>
    <row r="43" spans="1:6" ht="27" customHeight="1">
      <c r="A43" s="76" t="s">
        <v>51</v>
      </c>
      <c r="B43" s="17" t="s">
        <v>45</v>
      </c>
      <c r="C43" s="21">
        <v>9</v>
      </c>
      <c r="D43" s="20">
        <f>ROUND(F43/$D$6,2)</f>
        <v>9.17</v>
      </c>
      <c r="E43" s="17">
        <v>1</v>
      </c>
      <c r="F43" s="82">
        <f>'прил.1+2'!E70</f>
        <v>8400</v>
      </c>
    </row>
    <row r="44" spans="1:7" ht="13.5" thickBot="1">
      <c r="A44" s="88" t="s">
        <v>77</v>
      </c>
      <c r="B44" s="85"/>
      <c r="C44" s="85"/>
      <c r="D44" s="86">
        <f>ROUND(F44/$D$6,2)</f>
        <v>3542.29</v>
      </c>
      <c r="E44" s="85"/>
      <c r="F44" s="86">
        <f>SUM(F41:F43)</f>
        <v>3244740</v>
      </c>
      <c r="G44" s="41">
        <v>2</v>
      </c>
    </row>
    <row r="45" spans="1:7" ht="12.75">
      <c r="A45" s="421"/>
      <c r="B45" s="419"/>
      <c r="C45" s="419"/>
      <c r="D45" s="420"/>
      <c r="E45" s="419"/>
      <c r="F45" s="420"/>
      <c r="G45" s="41"/>
    </row>
    <row r="46" spans="1:7" ht="54" customHeight="1" hidden="1" thickBot="1">
      <c r="A46" s="632" t="s">
        <v>381</v>
      </c>
      <c r="B46" s="632"/>
      <c r="C46" s="632"/>
      <c r="D46" s="632"/>
      <c r="E46" s="632"/>
      <c r="F46" s="632"/>
      <c r="G46" s="41"/>
    </row>
    <row r="47" spans="1:7" ht="22.5" hidden="1">
      <c r="A47" s="76" t="s">
        <v>51</v>
      </c>
      <c r="B47" s="77" t="s">
        <v>45</v>
      </c>
      <c r="C47" s="78">
        <v>12</v>
      </c>
      <c r="D47" s="77">
        <f>ROUND(F47/$D$6,2)</f>
        <v>0</v>
      </c>
      <c r="E47" s="77">
        <v>1</v>
      </c>
      <c r="F47" s="79"/>
      <c r="G47" s="40" t="s">
        <v>71</v>
      </c>
    </row>
    <row r="48" spans="1:6" ht="13.5" hidden="1" thickBot="1">
      <c r="A48" s="88" t="s">
        <v>77</v>
      </c>
      <c r="B48" s="85"/>
      <c r="C48" s="85"/>
      <c r="D48" s="86">
        <f>ROUND(F48/$D$6,2)</f>
        <v>0</v>
      </c>
      <c r="E48" s="85"/>
      <c r="F48" s="86">
        <f>F47</f>
        <v>0</v>
      </c>
    </row>
    <row r="49" spans="1:6" ht="12.75">
      <c r="A49" s="379"/>
      <c r="B49" s="380"/>
      <c r="C49" s="380"/>
      <c r="D49" s="381"/>
      <c r="E49" s="380"/>
      <c r="F49" s="381"/>
    </row>
    <row r="50" spans="1:7" ht="16.5" thickBot="1">
      <c r="A50" s="626" t="s">
        <v>109</v>
      </c>
      <c r="B50" s="626"/>
      <c r="C50" s="626"/>
      <c r="D50" s="626"/>
      <c r="E50" s="626"/>
      <c r="F50" s="633"/>
      <c r="G50" s="40" t="s">
        <v>71</v>
      </c>
    </row>
    <row r="51" spans="1:7" ht="13.5" thickBot="1">
      <c r="A51" s="42" t="s">
        <v>63</v>
      </c>
      <c r="B51" s="77" t="s">
        <v>45</v>
      </c>
      <c r="C51" s="77">
        <v>12</v>
      </c>
      <c r="D51" s="77">
        <f>ROUND(F51/$D$6,2)</f>
        <v>77.34</v>
      </c>
      <c r="E51" s="77"/>
      <c r="F51" s="79">
        <f>'прил.3'!F6</f>
        <v>70848</v>
      </c>
      <c r="G51" s="40" t="s">
        <v>335</v>
      </c>
    </row>
    <row r="52" spans="1:6" ht="12.75">
      <c r="A52" s="487" t="str">
        <f>'прил.3'!A7</f>
        <v>вывоз мусора</v>
      </c>
      <c r="B52" s="77" t="s">
        <v>45</v>
      </c>
      <c r="C52" s="20"/>
      <c r="D52" s="77">
        <f>ROUND(F52/$D$6,2)</f>
        <v>86.15</v>
      </c>
      <c r="E52" s="20"/>
      <c r="F52" s="81">
        <f>'прил.3'!F7</f>
        <v>78912</v>
      </c>
    </row>
    <row r="53" spans="1:7" ht="12.75">
      <c r="A53" s="45" t="s">
        <v>374</v>
      </c>
      <c r="B53" s="17" t="s">
        <v>45</v>
      </c>
      <c r="C53" s="17"/>
      <c r="D53" s="17">
        <f aca="true" t="shared" si="0" ref="D53:D80">ROUND(F53/$D$6,2)</f>
        <v>14.73</v>
      </c>
      <c r="E53" s="17"/>
      <c r="F53" s="82">
        <f>'прил.3'!F8</f>
        <v>13496.52</v>
      </c>
      <c r="G53" s="40" t="s">
        <v>335</v>
      </c>
    </row>
    <row r="54" spans="1:7" ht="25.5">
      <c r="A54" s="45" t="s">
        <v>384</v>
      </c>
      <c r="B54" s="17" t="s">
        <v>45</v>
      </c>
      <c r="C54" s="17">
        <v>12</v>
      </c>
      <c r="D54" s="17">
        <f t="shared" si="0"/>
        <v>63.09</v>
      </c>
      <c r="E54" s="17"/>
      <c r="F54" s="82">
        <f>'прил.3'!F9</f>
        <v>57789.36</v>
      </c>
      <c r="G54" s="40" t="s">
        <v>335</v>
      </c>
    </row>
    <row r="55" spans="1:7" ht="12.75">
      <c r="A55" s="45" t="s">
        <v>64</v>
      </c>
      <c r="B55" s="17" t="s">
        <v>45</v>
      </c>
      <c r="C55" s="17">
        <v>12</v>
      </c>
      <c r="D55" s="17">
        <f t="shared" si="0"/>
        <v>18.33</v>
      </c>
      <c r="E55" s="17"/>
      <c r="F55" s="82">
        <f>'прил.3'!F10</f>
        <v>16791.36</v>
      </c>
      <c r="G55" s="383" t="s">
        <v>335</v>
      </c>
    </row>
    <row r="56" spans="1:6" ht="26.25" customHeight="1">
      <c r="A56" s="45" t="s">
        <v>393</v>
      </c>
      <c r="B56" s="17" t="s">
        <v>45</v>
      </c>
      <c r="C56" s="17">
        <v>12</v>
      </c>
      <c r="D56" s="17">
        <f t="shared" si="0"/>
        <v>0</v>
      </c>
      <c r="E56" s="17"/>
      <c r="F56" s="82">
        <f>'прил.3'!F11</f>
        <v>0</v>
      </c>
    </row>
    <row r="57" spans="1:7" ht="25.5">
      <c r="A57" s="45" t="s">
        <v>385</v>
      </c>
      <c r="B57" s="17" t="s">
        <v>45</v>
      </c>
      <c r="C57" s="17"/>
      <c r="D57" s="17">
        <f t="shared" si="0"/>
        <v>10.09</v>
      </c>
      <c r="E57" s="17"/>
      <c r="F57" s="82">
        <f>'прил.3'!F12</f>
        <v>9246.48</v>
      </c>
      <c r="G57" s="40" t="s">
        <v>335</v>
      </c>
    </row>
    <row r="58" spans="1:6" ht="38.25" customHeight="1">
      <c r="A58" s="45" t="s">
        <v>394</v>
      </c>
      <c r="B58" s="17" t="s">
        <v>45</v>
      </c>
      <c r="C58" s="17"/>
      <c r="D58" s="17">
        <f t="shared" si="0"/>
        <v>39.31</v>
      </c>
      <c r="E58" s="17"/>
      <c r="F58" s="82">
        <f>'прил.3'!F13</f>
        <v>36003.6</v>
      </c>
    </row>
    <row r="59" spans="1:7" ht="12.75">
      <c r="A59" s="45" t="s">
        <v>383</v>
      </c>
      <c r="B59" s="17" t="s">
        <v>45</v>
      </c>
      <c r="C59" s="17">
        <v>12</v>
      </c>
      <c r="D59" s="17">
        <f t="shared" si="0"/>
        <v>86.92</v>
      </c>
      <c r="E59" s="17"/>
      <c r="F59" s="82">
        <f>'прил.3'!F14</f>
        <v>79620</v>
      </c>
      <c r="G59" s="40" t="s">
        <v>335</v>
      </c>
    </row>
    <row r="60" spans="1:6" ht="12.75">
      <c r="A60" s="151" t="s">
        <v>128</v>
      </c>
      <c r="B60" s="17" t="s">
        <v>45</v>
      </c>
      <c r="C60" s="17">
        <v>12</v>
      </c>
      <c r="D60" s="17">
        <f t="shared" si="0"/>
        <v>0</v>
      </c>
      <c r="E60" s="17"/>
      <c r="F60" s="82">
        <f>'прил.3'!F15</f>
        <v>0</v>
      </c>
    </row>
    <row r="61" spans="1:7" ht="25.5">
      <c r="A61" s="45" t="str">
        <f>'прил.3'!A16</f>
        <v>т/о зданий(лифты, котельная, видеонаблюдение)</v>
      </c>
      <c r="B61" s="17" t="s">
        <v>45</v>
      </c>
      <c r="C61" s="17">
        <v>12</v>
      </c>
      <c r="D61" s="17">
        <f t="shared" si="0"/>
        <v>55.43</v>
      </c>
      <c r="E61" s="17"/>
      <c r="F61" s="82">
        <f>'прил.3'!F16</f>
        <v>50772</v>
      </c>
      <c r="G61" s="40" t="s">
        <v>335</v>
      </c>
    </row>
    <row r="62" spans="1:7" ht="25.5" customHeight="1">
      <c r="A62" s="45" t="str">
        <f>'прил.3'!A17</f>
        <v>т/о бассейна</v>
      </c>
      <c r="B62" s="17" t="s">
        <v>45</v>
      </c>
      <c r="C62" s="17"/>
      <c r="D62" s="17">
        <f t="shared" si="0"/>
        <v>17.69</v>
      </c>
      <c r="E62" s="17"/>
      <c r="F62" s="82">
        <f>'прил.3'!F17</f>
        <v>16200</v>
      </c>
      <c r="G62" s="40" t="s">
        <v>335</v>
      </c>
    </row>
    <row r="63" spans="1:7" ht="14.25" customHeight="1">
      <c r="A63" s="45" t="str">
        <f>'прил.3'!A18</f>
        <v>т/о средств радиомодема</v>
      </c>
      <c r="B63" s="17" t="s">
        <v>45</v>
      </c>
      <c r="C63" s="17">
        <v>12</v>
      </c>
      <c r="D63" s="17">
        <f t="shared" si="0"/>
        <v>43.23</v>
      </c>
      <c r="E63" s="17"/>
      <c r="F63" s="82">
        <f>'прил.3'!F18</f>
        <v>39600</v>
      </c>
      <c r="G63" s="40" t="s">
        <v>335</v>
      </c>
    </row>
    <row r="64" spans="1:7" ht="12.75">
      <c r="A64" s="45" t="str">
        <f>'прил.3'!A19</f>
        <v>т/о вентиляции</v>
      </c>
      <c r="B64" s="17" t="s">
        <v>45</v>
      </c>
      <c r="C64" s="17"/>
      <c r="D64" s="17">
        <f t="shared" si="0"/>
        <v>5.02</v>
      </c>
      <c r="E64" s="17"/>
      <c r="F64" s="82">
        <f>'прил.3'!F19</f>
        <v>4600</v>
      </c>
      <c r="G64" s="40" t="s">
        <v>335</v>
      </c>
    </row>
    <row r="65" spans="1:82" s="31" customFormat="1" ht="12.75">
      <c r="A65" s="45" t="str">
        <f>'прил.3'!A20</f>
        <v>т/о видеонаблюдения</v>
      </c>
      <c r="B65" s="17" t="s">
        <v>45</v>
      </c>
      <c r="C65" s="17"/>
      <c r="D65" s="17">
        <f t="shared" si="0"/>
        <v>6.55</v>
      </c>
      <c r="E65" s="17"/>
      <c r="F65" s="82">
        <f>'прил.3'!F20</f>
        <v>6000</v>
      </c>
      <c r="G65" s="40" t="s">
        <v>335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</row>
    <row r="66" spans="1:7" ht="18" customHeight="1">
      <c r="A66" s="45" t="str">
        <f>'прил.3'!A21</f>
        <v>т/о огнетушителей</v>
      </c>
      <c r="B66" s="17" t="s">
        <v>45</v>
      </c>
      <c r="C66" s="17"/>
      <c r="D66" s="17">
        <f t="shared" si="0"/>
        <v>17.73</v>
      </c>
      <c r="E66" s="17"/>
      <c r="F66" s="82">
        <f>'прил.3'!F21</f>
        <v>16240</v>
      </c>
      <c r="G66" s="40" t="s">
        <v>335</v>
      </c>
    </row>
    <row r="67" spans="1:7" ht="12.75" customHeight="1">
      <c r="A67" s="45" t="str">
        <f>'прил.3'!A22</f>
        <v>испытание пожарных рукавов</v>
      </c>
      <c r="B67" s="17" t="s">
        <v>45</v>
      </c>
      <c r="C67" s="17"/>
      <c r="D67" s="17">
        <f t="shared" si="0"/>
        <v>5.24</v>
      </c>
      <c r="E67" s="17"/>
      <c r="F67" s="82">
        <f>'прил.3'!F22</f>
        <v>4800</v>
      </c>
      <c r="G67" s="40" t="s">
        <v>335</v>
      </c>
    </row>
    <row r="68" spans="1:7" ht="12.75" customHeight="1">
      <c r="A68" s="45" t="str">
        <f>'прил.3'!A23</f>
        <v>проверка работоспособности внутреннего противопожарного водопровода</v>
      </c>
      <c r="B68" s="17" t="s">
        <v>45</v>
      </c>
      <c r="C68" s="17"/>
      <c r="D68" s="17">
        <f t="shared" si="0"/>
        <v>10.92</v>
      </c>
      <c r="E68" s="17"/>
      <c r="F68" s="82">
        <f>'прил.3'!F23</f>
        <v>10000</v>
      </c>
      <c r="G68" s="40" t="s">
        <v>335</v>
      </c>
    </row>
    <row r="69" spans="1:7" ht="12.75" customHeight="1">
      <c r="A69" s="45" t="str">
        <f>'прил.3'!A24</f>
        <v>перекатка пожарного рукава</v>
      </c>
      <c r="B69" s="17" t="s">
        <v>45</v>
      </c>
      <c r="C69" s="17"/>
      <c r="D69" s="17">
        <f t="shared" si="0"/>
        <v>5.24</v>
      </c>
      <c r="E69" s="17"/>
      <c r="F69" s="82">
        <f>'прил.3'!F24</f>
        <v>4800</v>
      </c>
      <c r="G69" s="40" t="s">
        <v>335</v>
      </c>
    </row>
    <row r="70" spans="1:6" ht="12.75" customHeight="1">
      <c r="A70" s="45" t="str">
        <f>'прил.3'!A25</f>
        <v>перезаряд и испытание огнетушителей</v>
      </c>
      <c r="B70" s="17" t="s">
        <v>45</v>
      </c>
      <c r="C70" s="17"/>
      <c r="D70" s="17">
        <f t="shared" si="0"/>
        <v>0.59</v>
      </c>
      <c r="E70" s="17"/>
      <c r="F70" s="82">
        <f>'прил.3'!F25</f>
        <v>537</v>
      </c>
    </row>
    <row r="71" spans="1:7" ht="12.75" customHeight="1">
      <c r="A71" s="45" t="str">
        <f>'прил.3'!A26</f>
        <v>поверка весов</v>
      </c>
      <c r="B71" s="17" t="s">
        <v>45</v>
      </c>
      <c r="C71" s="17"/>
      <c r="D71" s="17">
        <f t="shared" si="0"/>
        <v>7.16</v>
      </c>
      <c r="E71" s="17"/>
      <c r="F71" s="82">
        <f>'прил.3'!F26</f>
        <v>6556.55</v>
      </c>
      <c r="G71" s="40" t="s">
        <v>335</v>
      </c>
    </row>
    <row r="72" spans="1:6" ht="12.75" customHeight="1">
      <c r="A72" s="45" t="str">
        <f>'прил.3'!A27</f>
        <v>ремонт гладильного катка</v>
      </c>
      <c r="B72" s="17" t="s">
        <v>45</v>
      </c>
      <c r="C72" s="17">
        <v>13</v>
      </c>
      <c r="D72" s="17">
        <f t="shared" si="0"/>
        <v>8.73</v>
      </c>
      <c r="E72" s="17"/>
      <c r="F72" s="82">
        <f>'прил.3'!F27</f>
        <v>8000</v>
      </c>
    </row>
    <row r="73" spans="1:6" ht="12.75" customHeight="1">
      <c r="A73" s="45" t="str">
        <f>'прил.3'!A28</f>
        <v>поверка приборов учета тепловой энергии</v>
      </c>
      <c r="B73" s="17" t="s">
        <v>45</v>
      </c>
      <c r="C73" s="21"/>
      <c r="D73" s="17">
        <f t="shared" si="0"/>
        <v>18.35</v>
      </c>
      <c r="E73" s="21"/>
      <c r="F73" s="82">
        <f>'прил.3'!F28</f>
        <v>16810</v>
      </c>
    </row>
    <row r="74" spans="1:6" ht="12.75" customHeight="1">
      <c r="A74" s="45" t="str">
        <f>'прил.3'!A29</f>
        <v>ремонт АКБ</v>
      </c>
      <c r="B74" s="17" t="s">
        <v>45</v>
      </c>
      <c r="C74" s="21"/>
      <c r="D74" s="17">
        <f t="shared" si="0"/>
        <v>1.97</v>
      </c>
      <c r="E74" s="21"/>
      <c r="F74" s="82">
        <f>'прил.3'!F29</f>
        <v>1800</v>
      </c>
    </row>
    <row r="75" spans="1:6" ht="12.75" customHeight="1" hidden="1">
      <c r="A75" s="45" t="s">
        <v>404</v>
      </c>
      <c r="B75" s="17" t="s">
        <v>45</v>
      </c>
      <c r="C75" s="21"/>
      <c r="D75" s="17">
        <f t="shared" si="0"/>
        <v>0</v>
      </c>
      <c r="E75" s="21"/>
      <c r="F75" s="82">
        <f>'прил.3'!F31</f>
        <v>0</v>
      </c>
    </row>
    <row r="76" spans="1:6" ht="12.75" customHeight="1" hidden="1">
      <c r="A76" s="45" t="s">
        <v>403</v>
      </c>
      <c r="B76" s="17" t="s">
        <v>45</v>
      </c>
      <c r="C76" s="21"/>
      <c r="D76" s="17">
        <f t="shared" si="0"/>
        <v>0</v>
      </c>
      <c r="E76" s="21"/>
      <c r="F76" s="82">
        <f>'прил.3'!F32</f>
        <v>0</v>
      </c>
    </row>
    <row r="77" spans="1:6" ht="12.75" customHeight="1" hidden="1">
      <c r="A77" s="45" t="s">
        <v>402</v>
      </c>
      <c r="B77" s="17" t="s">
        <v>45</v>
      </c>
      <c r="C77" s="21"/>
      <c r="D77" s="17">
        <f t="shared" si="0"/>
        <v>0</v>
      </c>
      <c r="E77" s="21"/>
      <c r="F77" s="82">
        <f>'прил.3'!F33</f>
        <v>0</v>
      </c>
    </row>
    <row r="78" spans="1:7" ht="12.75" customHeight="1">
      <c r="A78" s="45" t="s">
        <v>407</v>
      </c>
      <c r="B78" s="17" t="s">
        <v>45</v>
      </c>
      <c r="C78" s="21"/>
      <c r="D78" s="17">
        <f t="shared" si="0"/>
        <v>8.79</v>
      </c>
      <c r="E78" s="21"/>
      <c r="F78" s="82">
        <f>'прил.3'!F36</f>
        <v>8052</v>
      </c>
      <c r="G78" s="40" t="s">
        <v>335</v>
      </c>
    </row>
    <row r="79" spans="1:7" ht="12.75" customHeight="1">
      <c r="A79" s="45" t="str">
        <f>'прил.3'!A35</f>
        <v>т/о оборудования</v>
      </c>
      <c r="B79" s="17" t="s">
        <v>45</v>
      </c>
      <c r="C79" s="21"/>
      <c r="D79" s="17">
        <f t="shared" si="0"/>
        <v>72.05</v>
      </c>
      <c r="E79" s="21"/>
      <c r="F79" s="82">
        <f>'прил.3'!F35</f>
        <v>66000</v>
      </c>
      <c r="G79" s="40" t="s">
        <v>335</v>
      </c>
    </row>
    <row r="80" spans="1:7" ht="12.75" customHeight="1">
      <c r="A80" s="292" t="str">
        <f>'прил.3'!A37</f>
        <v>т/о оборудования</v>
      </c>
      <c r="B80" s="17" t="s">
        <v>45</v>
      </c>
      <c r="C80" s="21"/>
      <c r="D80" s="17">
        <f t="shared" si="0"/>
        <v>20.98</v>
      </c>
      <c r="E80" s="21"/>
      <c r="F80" s="82">
        <f>'прил.3'!F37</f>
        <v>19214.28</v>
      </c>
      <c r="G80" s="40" t="s">
        <v>335</v>
      </c>
    </row>
    <row r="81" spans="1:7" ht="12.75" customHeight="1" thickBot="1">
      <c r="A81" s="90" t="s">
        <v>77</v>
      </c>
      <c r="B81" s="91"/>
      <c r="C81" s="91"/>
      <c r="D81" s="86">
        <f>ROUND(F81/$D$6,2)</f>
        <v>701.63</v>
      </c>
      <c r="E81" s="85"/>
      <c r="F81" s="86">
        <f>ROUND(SUM(F51:F80),2)</f>
        <v>642689.15</v>
      </c>
      <c r="G81" s="40">
        <v>2</v>
      </c>
    </row>
    <row r="82" spans="1:6" ht="20.25" customHeight="1" thickBot="1">
      <c r="A82" s="626" t="s">
        <v>108</v>
      </c>
      <c r="B82" s="626"/>
      <c r="C82" s="626"/>
      <c r="D82" s="626"/>
      <c r="E82" s="626"/>
      <c r="F82" s="626"/>
    </row>
    <row r="83" spans="1:6" ht="12.75" customHeight="1">
      <c r="A83" s="92" t="s">
        <v>69</v>
      </c>
      <c r="B83" s="77" t="s">
        <v>45</v>
      </c>
      <c r="C83" s="77">
        <v>12</v>
      </c>
      <c r="D83" s="77">
        <f>ROUND(F83/$D$6,2)</f>
        <v>65.76</v>
      </c>
      <c r="E83" s="77"/>
      <c r="F83" s="93">
        <f>'прил.3'!F60</f>
        <v>60235</v>
      </c>
    </row>
    <row r="84" spans="1:6" ht="12.75" customHeight="1" hidden="1">
      <c r="A84" s="89" t="s">
        <v>28</v>
      </c>
      <c r="B84" s="16"/>
      <c r="C84" s="16"/>
      <c r="D84" s="16"/>
      <c r="E84" s="16"/>
      <c r="F84" s="94"/>
    </row>
    <row r="85" spans="1:6" ht="12.75" customHeight="1" hidden="1">
      <c r="A85" s="89" t="s">
        <v>29</v>
      </c>
      <c r="B85" s="16"/>
      <c r="C85" s="16"/>
      <c r="D85" s="16"/>
      <c r="E85" s="16"/>
      <c r="F85" s="94"/>
    </row>
    <row r="86" spans="1:6" ht="12.75" customHeight="1" hidden="1">
      <c r="A86" s="89" t="s">
        <v>30</v>
      </c>
      <c r="B86" s="16"/>
      <c r="C86" s="16"/>
      <c r="D86" s="16"/>
      <c r="E86" s="16"/>
      <c r="F86" s="94"/>
    </row>
    <row r="87" spans="1:6" ht="12.75" customHeight="1" hidden="1">
      <c r="A87" s="89" t="s">
        <v>31</v>
      </c>
      <c r="B87" s="16"/>
      <c r="C87" s="16"/>
      <c r="D87" s="16"/>
      <c r="E87" s="16"/>
      <c r="F87" s="94"/>
    </row>
    <row r="88" spans="1:6" ht="12.75" customHeight="1" hidden="1">
      <c r="A88" s="89" t="s">
        <v>32</v>
      </c>
      <c r="B88" s="16"/>
      <c r="C88" s="16"/>
      <c r="D88" s="16"/>
      <c r="E88" s="16"/>
      <c r="F88" s="94"/>
    </row>
    <row r="89" spans="1:6" ht="12.75" customHeight="1" hidden="1">
      <c r="A89" s="623" t="s">
        <v>33</v>
      </c>
      <c r="B89" s="624"/>
      <c r="C89" s="624"/>
      <c r="D89" s="624"/>
      <c r="E89" s="624"/>
      <c r="F89" s="625"/>
    </row>
    <row r="90" spans="1:6" ht="12.75" customHeight="1" hidden="1">
      <c r="A90" s="89" t="s">
        <v>34</v>
      </c>
      <c r="B90" s="16"/>
      <c r="C90" s="16"/>
      <c r="D90" s="16"/>
      <c r="E90" s="16"/>
      <c r="F90" s="94"/>
    </row>
    <row r="91" spans="1:6" ht="12.75" customHeight="1" hidden="1">
      <c r="A91" s="89" t="s">
        <v>35</v>
      </c>
      <c r="B91" s="16"/>
      <c r="C91" s="16"/>
      <c r="D91" s="16"/>
      <c r="E91" s="16"/>
      <c r="F91" s="94"/>
    </row>
    <row r="92" spans="1:6" ht="12.75" customHeight="1" hidden="1">
      <c r="A92" s="89" t="s">
        <v>36</v>
      </c>
      <c r="B92" s="16"/>
      <c r="C92" s="16"/>
      <c r="D92" s="16"/>
      <c r="E92" s="16"/>
      <c r="F92" s="94"/>
    </row>
    <row r="93" spans="1:6" ht="12.75" customHeight="1" hidden="1">
      <c r="A93" s="89" t="s">
        <v>37</v>
      </c>
      <c r="B93" s="16"/>
      <c r="C93" s="16"/>
      <c r="D93" s="16"/>
      <c r="E93" s="16"/>
      <c r="F93" s="94"/>
    </row>
    <row r="94" spans="1:6" ht="12.75" customHeight="1" hidden="1">
      <c r="A94" s="89" t="s">
        <v>38</v>
      </c>
      <c r="B94" s="16"/>
      <c r="C94" s="16"/>
      <c r="D94" s="16"/>
      <c r="E94" s="16"/>
      <c r="F94" s="94"/>
    </row>
    <row r="95" spans="1:6" ht="12.75" customHeight="1" hidden="1">
      <c r="A95" s="89" t="s">
        <v>39</v>
      </c>
      <c r="B95" s="16"/>
      <c r="C95" s="16"/>
      <c r="D95" s="16"/>
      <c r="E95" s="16"/>
      <c r="F95" s="94"/>
    </row>
    <row r="96" spans="1:6" ht="12.75" customHeight="1" hidden="1">
      <c r="A96" s="623" t="s">
        <v>40</v>
      </c>
      <c r="B96" s="624"/>
      <c r="C96" s="624"/>
      <c r="D96" s="624"/>
      <c r="E96" s="624"/>
      <c r="F96" s="625"/>
    </row>
    <row r="97" spans="1:6" ht="12.75" customHeight="1" hidden="1">
      <c r="A97" s="89" t="str">
        <f>'прил.3'!A23</f>
        <v>проверка работоспособности внутреннего противопожарного водопровода</v>
      </c>
      <c r="B97" s="16"/>
      <c r="C97" s="16"/>
      <c r="D97" s="16"/>
      <c r="E97" s="16"/>
      <c r="F97" s="94"/>
    </row>
    <row r="98" spans="1:82" s="31" customFormat="1" ht="12.75" customHeight="1" hidden="1">
      <c r="A98" s="89" t="str">
        <f>'прил.3'!A24</f>
        <v>перекатка пожарного рукава</v>
      </c>
      <c r="B98" s="16"/>
      <c r="C98" s="16"/>
      <c r="D98" s="16"/>
      <c r="E98" s="16"/>
      <c r="F98" s="94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</row>
    <row r="99" spans="1:6" ht="12.75" customHeight="1" hidden="1">
      <c r="A99" s="89" t="str">
        <f>'прил.3'!A25</f>
        <v>перезаряд и испытание огнетушителей</v>
      </c>
      <c r="B99" s="16"/>
      <c r="C99" s="16"/>
      <c r="D99" s="16"/>
      <c r="E99" s="16"/>
      <c r="F99" s="94"/>
    </row>
    <row r="100" spans="1:6" ht="12.75" customHeight="1" hidden="1">
      <c r="A100" s="89" t="s">
        <v>41</v>
      </c>
      <c r="B100" s="16"/>
      <c r="C100" s="16"/>
      <c r="D100" s="16"/>
      <c r="E100" s="16"/>
      <c r="F100" s="94"/>
    </row>
    <row r="101" spans="1:6" ht="12.75" customHeight="1" hidden="1">
      <c r="A101" s="89" t="s">
        <v>42</v>
      </c>
      <c r="B101" s="16"/>
      <c r="C101" s="16"/>
      <c r="D101" s="16"/>
      <c r="E101" s="16"/>
      <c r="F101" s="94"/>
    </row>
    <row r="102" spans="1:82" s="408" customFormat="1" ht="12.75" customHeight="1" hidden="1">
      <c r="A102" s="89" t="str">
        <f>'прил.3'!A26</f>
        <v>поверка весов</v>
      </c>
      <c r="B102" s="16"/>
      <c r="C102" s="16"/>
      <c r="D102" s="16"/>
      <c r="E102" s="16"/>
      <c r="F102" s="42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7"/>
      <c r="AY102" s="407"/>
      <c r="AZ102" s="407"/>
      <c r="BA102" s="407"/>
      <c r="BB102" s="407"/>
      <c r="BC102" s="407"/>
      <c r="BD102" s="407"/>
      <c r="BE102" s="407"/>
      <c r="BF102" s="407"/>
      <c r="BG102" s="407"/>
      <c r="BH102" s="407"/>
      <c r="BI102" s="407"/>
      <c r="BJ102" s="407"/>
      <c r="BK102" s="407"/>
      <c r="BL102" s="407"/>
      <c r="BM102" s="407"/>
      <c r="BN102" s="407"/>
      <c r="BO102" s="407"/>
      <c r="BP102" s="407"/>
      <c r="BQ102" s="407"/>
      <c r="BR102" s="407"/>
      <c r="BS102" s="407"/>
      <c r="BT102" s="407"/>
      <c r="BU102" s="407"/>
      <c r="BV102" s="407"/>
      <c r="BW102" s="407"/>
      <c r="BX102" s="407"/>
      <c r="BY102" s="407"/>
      <c r="BZ102" s="407"/>
      <c r="CA102" s="407"/>
      <c r="CB102" s="407"/>
      <c r="CC102" s="407"/>
      <c r="CD102" s="407"/>
    </row>
    <row r="103" spans="1:6" ht="12.75" customHeight="1" hidden="1">
      <c r="A103" s="89" t="str">
        <f>'прил.3'!A27</f>
        <v>ремонт гладильного катка</v>
      </c>
      <c r="B103" s="16"/>
      <c r="C103" s="16"/>
      <c r="D103" s="16"/>
      <c r="E103" s="16"/>
      <c r="F103" s="94"/>
    </row>
    <row r="104" spans="1:6" ht="12.75" customHeight="1" hidden="1">
      <c r="A104" s="89" t="str">
        <f>'прил.3'!A34</f>
        <v>охрана (кредит задолженность за декабрь 2013 года)</v>
      </c>
      <c r="B104" s="16"/>
      <c r="C104" s="16"/>
      <c r="D104" s="16"/>
      <c r="E104" s="16"/>
      <c r="F104" s="94"/>
    </row>
    <row r="105" spans="1:6" ht="12.75" customHeight="1" hidden="1">
      <c r="A105" s="89" t="str">
        <f>'прил.3'!A35</f>
        <v>т/о оборудования</v>
      </c>
      <c r="B105" s="16"/>
      <c r="C105" s="16"/>
      <c r="D105" s="16"/>
      <c r="E105" s="16"/>
      <c r="F105" s="94"/>
    </row>
    <row r="106" spans="1:6" ht="12.75" customHeight="1" hidden="1">
      <c r="A106" s="89" t="str">
        <f>'прил.3'!A37</f>
        <v>т/о оборудования</v>
      </c>
      <c r="B106" s="16"/>
      <c r="C106" s="16"/>
      <c r="D106" s="16"/>
      <c r="E106" s="16"/>
      <c r="F106" s="94"/>
    </row>
    <row r="107" spans="1:6" ht="12.75" customHeight="1" hidden="1">
      <c r="A107" s="89" t="s">
        <v>43</v>
      </c>
      <c r="B107" s="16"/>
      <c r="C107" s="16"/>
      <c r="D107" s="16"/>
      <c r="E107" s="16"/>
      <c r="F107" s="94"/>
    </row>
    <row r="108" spans="1:6" ht="12.75" customHeight="1">
      <c r="A108" s="89"/>
      <c r="B108" s="16"/>
      <c r="C108" s="16"/>
      <c r="D108" s="16"/>
      <c r="E108" s="16"/>
      <c r="F108" s="95">
        <f>ROUND(C108*D108,2)</f>
        <v>0</v>
      </c>
    </row>
    <row r="109" spans="1:82" s="37" customFormat="1" ht="13.5" thickBot="1">
      <c r="A109" s="90" t="s">
        <v>77</v>
      </c>
      <c r="B109" s="91"/>
      <c r="C109" s="91"/>
      <c r="D109" s="96">
        <f>ROUND(F109/$D$6,2)</f>
        <v>65.76</v>
      </c>
      <c r="E109" s="91"/>
      <c r="F109" s="96">
        <f>SUM(F83+F108)</f>
        <v>60235</v>
      </c>
      <c r="G109" s="40">
        <v>2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</row>
    <row r="110" spans="1:82" s="35" customFormat="1" ht="21" customHeight="1">
      <c r="A110" s="626" t="s">
        <v>116</v>
      </c>
      <c r="B110" s="626"/>
      <c r="C110" s="626"/>
      <c r="D110" s="626"/>
      <c r="E110" s="626"/>
      <c r="F110" s="626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</row>
    <row r="111" spans="1:82" s="35" customFormat="1" ht="15.75" customHeight="1">
      <c r="A111" s="135" t="str">
        <f>'прил.3'!A99</f>
        <v>заправка картриджей</v>
      </c>
      <c r="B111" s="17" t="s">
        <v>45</v>
      </c>
      <c r="C111" s="16"/>
      <c r="D111" s="404">
        <f aca="true" t="shared" si="1" ref="D111:D120">ROUND(F111/$D$6,2)</f>
        <v>35.36</v>
      </c>
      <c r="E111" s="17"/>
      <c r="F111" s="17">
        <f>'прил.3'!F99</f>
        <v>32389.45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</row>
    <row r="112" spans="1:82" s="35" customFormat="1" ht="15" customHeight="1">
      <c r="A112" s="135" t="str">
        <f>'прил.3'!A100</f>
        <v>заправка картриджей</v>
      </c>
      <c r="B112" s="17" t="s">
        <v>45</v>
      </c>
      <c r="C112" s="16"/>
      <c r="D112" s="404">
        <f t="shared" si="1"/>
        <v>0</v>
      </c>
      <c r="E112" s="136"/>
      <c r="F112" s="17">
        <f>'прил.3'!F100</f>
        <v>0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</row>
    <row r="113" spans="1:82" s="35" customFormat="1" ht="15">
      <c r="A113" s="403" t="s">
        <v>395</v>
      </c>
      <c r="B113" s="404" t="s">
        <v>45</v>
      </c>
      <c r="C113" s="405"/>
      <c r="D113" s="404">
        <f t="shared" si="1"/>
        <v>0</v>
      </c>
      <c r="E113" s="404"/>
      <c r="F113" s="406">
        <f>'прил.3'!F95</f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</row>
    <row r="114" spans="1:82" s="31" customFormat="1" ht="15.75">
      <c r="A114" s="135" t="s">
        <v>126</v>
      </c>
      <c r="B114" s="17" t="s">
        <v>45</v>
      </c>
      <c r="C114" s="16"/>
      <c r="D114" s="17">
        <f t="shared" si="1"/>
        <v>258.07</v>
      </c>
      <c r="E114" s="136"/>
      <c r="F114" s="25">
        <f>'прил.3'!F88+'прил.3'!F89+'прил.3'!F90+'прил.3'!F91+'прил.3'!F93</f>
        <v>236390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</row>
    <row r="115" spans="1:82" s="35" customFormat="1" ht="12.75">
      <c r="A115" s="89" t="s">
        <v>131</v>
      </c>
      <c r="B115" s="17" t="s">
        <v>45</v>
      </c>
      <c r="C115" s="16"/>
      <c r="D115" s="20">
        <f t="shared" si="1"/>
        <v>21.59</v>
      </c>
      <c r="E115" s="16"/>
      <c r="F115" s="384">
        <f>'прил.3'!F94</f>
        <v>19776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</row>
    <row r="116" spans="1:82" s="35" customFormat="1" ht="26.25" customHeight="1">
      <c r="A116" s="149" t="str">
        <f>'прил.3'!A101</f>
        <v>утилизация отходов (ртутосодержащие лампы)</v>
      </c>
      <c r="B116" s="17" t="s">
        <v>45</v>
      </c>
      <c r="C116" s="16"/>
      <c r="D116" s="20">
        <f t="shared" si="1"/>
        <v>6.42</v>
      </c>
      <c r="E116" s="150"/>
      <c r="F116" s="384">
        <f>'прил.3'!F101</f>
        <v>5884.4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</row>
    <row r="117" spans="1:82" s="35" customFormat="1" ht="12.75" hidden="1">
      <c r="A117" s="149"/>
      <c r="B117" s="17" t="s">
        <v>45</v>
      </c>
      <c r="C117" s="16"/>
      <c r="D117" s="20">
        <f t="shared" si="1"/>
        <v>0</v>
      </c>
      <c r="E117" s="150"/>
      <c r="F117" s="384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</row>
    <row r="118" spans="1:82" s="35" customFormat="1" ht="12.75">
      <c r="A118" s="149" t="s">
        <v>396</v>
      </c>
      <c r="B118" s="17" t="s">
        <v>45</v>
      </c>
      <c r="C118" s="16"/>
      <c r="D118" s="20">
        <f t="shared" si="1"/>
        <v>2.73</v>
      </c>
      <c r="E118" s="150"/>
      <c r="F118" s="384">
        <f>'прил.3'!F102</f>
        <v>2500</v>
      </c>
      <c r="G118" s="41" t="s">
        <v>71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</row>
    <row r="119" spans="1:82" s="35" customFormat="1" ht="12.75" hidden="1">
      <c r="A119" s="149"/>
      <c r="B119" s="17" t="s">
        <v>45</v>
      </c>
      <c r="C119" s="16"/>
      <c r="D119" s="20">
        <f t="shared" si="1"/>
        <v>0</v>
      </c>
      <c r="E119" s="150"/>
      <c r="F119" s="384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</row>
    <row r="120" spans="1:82" s="31" customFormat="1" ht="13.5" thickBot="1">
      <c r="A120" s="97" t="s">
        <v>70</v>
      </c>
      <c r="B120" s="98"/>
      <c r="C120" s="98"/>
      <c r="D120" s="99">
        <f t="shared" si="1"/>
        <v>324.17</v>
      </c>
      <c r="E120" s="98"/>
      <c r="F120" s="99">
        <f>ROUND(SUM(F111:F119),2)</f>
        <v>296939.85</v>
      </c>
      <c r="G120" s="40">
        <v>2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</row>
    <row r="121" spans="1:82" s="35" customFormat="1" ht="33" customHeight="1">
      <c r="A121" s="634" t="s">
        <v>78</v>
      </c>
      <c r="B121" s="635"/>
      <c r="C121" s="635"/>
      <c r="D121" s="635"/>
      <c r="E121" s="635"/>
      <c r="F121" s="635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</row>
    <row r="122" spans="1:82" s="35" customFormat="1" ht="16.5" thickBot="1">
      <c r="A122" s="627" t="s">
        <v>115</v>
      </c>
      <c r="B122" s="627"/>
      <c r="C122" s="627"/>
      <c r="D122" s="627"/>
      <c r="E122" s="627"/>
      <c r="F122" s="628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</row>
    <row r="123" spans="1:82" s="31" customFormat="1" ht="12.75">
      <c r="A123" s="100" t="s">
        <v>79</v>
      </c>
      <c r="B123" s="77" t="s">
        <v>45</v>
      </c>
      <c r="C123" s="101">
        <v>12</v>
      </c>
      <c r="D123" s="77">
        <f>ROUND(F123/D6,2)</f>
        <v>0</v>
      </c>
      <c r="E123" s="102"/>
      <c r="F123" s="79">
        <f>'прил.4'!F6</f>
        <v>0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</row>
    <row r="124" spans="1:82" s="35" customFormat="1" ht="12.75">
      <c r="A124" s="58" t="s">
        <v>80</v>
      </c>
      <c r="B124" s="17" t="s">
        <v>45</v>
      </c>
      <c r="C124" s="36">
        <v>12</v>
      </c>
      <c r="D124" s="20">
        <f>ROUND(F124/D6,2)</f>
        <v>0</v>
      </c>
      <c r="E124" s="34"/>
      <c r="F124" s="82">
        <f>'прил.4'!F7</f>
        <v>0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</row>
    <row r="125" spans="1:82" s="35" customFormat="1" ht="13.5" thickBot="1">
      <c r="A125" s="90" t="s">
        <v>70</v>
      </c>
      <c r="B125" s="91"/>
      <c r="C125" s="91"/>
      <c r="D125" s="86">
        <f>D123+D124</f>
        <v>0</v>
      </c>
      <c r="E125" s="91"/>
      <c r="F125" s="86">
        <f>F123+F124</f>
        <v>0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</row>
    <row r="126" spans="1:82" s="35" customFormat="1" ht="16.5" thickBot="1">
      <c r="A126" s="607" t="s">
        <v>107</v>
      </c>
      <c r="B126" s="607"/>
      <c r="C126" s="607"/>
      <c r="D126" s="607"/>
      <c r="E126" s="607"/>
      <c r="F126" s="631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</row>
    <row r="127" spans="1:82" s="31" customFormat="1" ht="12.75">
      <c r="A127" s="100" t="str">
        <f>'прил.3'!A68</f>
        <v>Хозяйственные товары</v>
      </c>
      <c r="B127" s="77" t="s">
        <v>45</v>
      </c>
      <c r="C127" s="101">
        <v>12</v>
      </c>
      <c r="D127" s="77">
        <f>ROUND(F127/D6,2)</f>
        <v>248.4</v>
      </c>
      <c r="E127" s="102"/>
      <c r="F127" s="103">
        <f>'прил.3'!D68</f>
        <v>227532.66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</row>
    <row r="128" spans="1:82" s="35" customFormat="1" ht="12.75">
      <c r="A128" s="58" t="str">
        <f>'прил.3'!A69</f>
        <v>дез.средства</v>
      </c>
      <c r="B128" s="17" t="s">
        <v>45</v>
      </c>
      <c r="C128" s="36">
        <v>12</v>
      </c>
      <c r="D128" s="20">
        <f>ROUND(F128/D6,2)</f>
        <v>97.02</v>
      </c>
      <c r="E128" s="34"/>
      <c r="F128" s="104">
        <f>'прил.3'!D69</f>
        <v>88870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</row>
    <row r="129" spans="1:82" s="35" customFormat="1" ht="12.75">
      <c r="A129" s="58" t="str">
        <f>'прил.3'!A70</f>
        <v>Строительные материалы</v>
      </c>
      <c r="B129" s="17" t="s">
        <v>45</v>
      </c>
      <c r="C129" s="34"/>
      <c r="D129" s="20">
        <f>ROUND(F129/D6,2)</f>
        <v>73.01</v>
      </c>
      <c r="E129" s="34"/>
      <c r="F129" s="104">
        <f>'прил.3'!D70</f>
        <v>66879.2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</row>
    <row r="130" spans="1:82" s="35" customFormat="1" ht="12.75">
      <c r="A130" s="58" t="str">
        <f>'прил.3'!A71</f>
        <v>мягкий инвентарь</v>
      </c>
      <c r="B130" s="17" t="s">
        <v>45</v>
      </c>
      <c r="C130" s="34"/>
      <c r="D130" s="20">
        <f>ROUND(F130/D6,2)</f>
        <v>296.51</v>
      </c>
      <c r="E130" s="34"/>
      <c r="F130" s="104">
        <f>'прил.3'!D71</f>
        <v>271601.14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</row>
    <row r="131" spans="1:82" s="35" customFormat="1" ht="12.75">
      <c r="A131" s="58">
        <f>'прил.3'!A72</f>
        <v>0</v>
      </c>
      <c r="B131" s="17" t="s">
        <v>45</v>
      </c>
      <c r="C131" s="34"/>
      <c r="D131" s="20">
        <f>ROUND(F131/D6,2)</f>
        <v>0</v>
      </c>
      <c r="E131" s="34"/>
      <c r="F131" s="104">
        <f>'прил.3'!D72</f>
        <v>0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</row>
    <row r="132" spans="1:82" s="35" customFormat="1" ht="13.5" thickBot="1">
      <c r="A132" s="90" t="s">
        <v>70</v>
      </c>
      <c r="B132" s="91"/>
      <c r="C132" s="91"/>
      <c r="D132" s="86">
        <f>D127+D128+D129+D131</f>
        <v>418.43</v>
      </c>
      <c r="E132" s="91"/>
      <c r="F132" s="86">
        <f>F127+F128+F129+F131+F130</f>
        <v>654883</v>
      </c>
      <c r="G132" s="40">
        <v>2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</row>
    <row r="133" spans="1:82" s="35" customFormat="1" ht="16.5" thickBot="1">
      <c r="A133" s="600" t="s">
        <v>112</v>
      </c>
      <c r="B133" s="600"/>
      <c r="C133" s="600"/>
      <c r="D133" s="600"/>
      <c r="E133" s="600"/>
      <c r="F133" s="636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</row>
    <row r="134" spans="1:82" s="35" customFormat="1" ht="12.75">
      <c r="A134" s="100" t="s">
        <v>84</v>
      </c>
      <c r="B134" s="77" t="s">
        <v>45</v>
      </c>
      <c r="C134" s="102"/>
      <c r="D134" s="77">
        <f>ROUND(F134/D6,2)</f>
        <v>0</v>
      </c>
      <c r="E134" s="102"/>
      <c r="F134" s="103">
        <f>'прил.4'!F36</f>
        <v>0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</row>
    <row r="135" spans="1:82" s="35" customFormat="1" ht="13.5" thickBot="1">
      <c r="A135" s="90" t="s">
        <v>70</v>
      </c>
      <c r="B135" s="91"/>
      <c r="C135" s="91"/>
      <c r="D135" s="86">
        <f>D134</f>
        <v>0</v>
      </c>
      <c r="E135" s="91"/>
      <c r="F135" s="86">
        <f>F134</f>
        <v>0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</row>
    <row r="136" spans="1:82" s="35" customFormat="1" ht="16.5" thickBot="1">
      <c r="A136" s="607" t="s">
        <v>113</v>
      </c>
      <c r="B136" s="607"/>
      <c r="C136" s="607"/>
      <c r="D136" s="607"/>
      <c r="E136" s="607"/>
      <c r="F136" s="631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</row>
    <row r="137" spans="1:82" s="29" customFormat="1" ht="12.75">
      <c r="A137" s="100"/>
      <c r="B137" s="77" t="s">
        <v>45</v>
      </c>
      <c r="C137" s="102"/>
      <c r="D137" s="77">
        <f>ROUND(F137/D6,2)</f>
        <v>0</v>
      </c>
      <c r="E137" s="102"/>
      <c r="F137" s="103">
        <f>'прил.4'!F43</f>
        <v>0</v>
      </c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</row>
    <row r="138" spans="1:6" ht="13.5" thickBot="1">
      <c r="A138" s="107"/>
      <c r="B138" s="108" t="s">
        <v>45</v>
      </c>
      <c r="C138" s="109"/>
      <c r="D138" s="110">
        <f>ROUND(F138/D6,2)</f>
        <v>0</v>
      </c>
      <c r="E138" s="109"/>
      <c r="F138" s="111">
        <f>'прил.4'!F44</f>
        <v>0</v>
      </c>
    </row>
    <row r="139" spans="1:6" ht="12.75">
      <c r="A139" s="105" t="s">
        <v>70</v>
      </c>
      <c r="B139" s="105"/>
      <c r="C139" s="105"/>
      <c r="D139" s="106">
        <f>D137+D138</f>
        <v>0</v>
      </c>
      <c r="E139" s="105"/>
      <c r="F139" s="106">
        <f>F137+F138</f>
        <v>0</v>
      </c>
    </row>
    <row r="140" spans="1:6" ht="16.5" thickBot="1">
      <c r="A140" s="622" t="s">
        <v>110</v>
      </c>
      <c r="B140" s="622"/>
      <c r="C140" s="622"/>
      <c r="D140" s="622"/>
      <c r="E140" s="622"/>
      <c r="F140" s="622"/>
    </row>
    <row r="141" spans="1:6" ht="12.75">
      <c r="A141" s="42" t="s">
        <v>57</v>
      </c>
      <c r="B141" s="77" t="s">
        <v>45</v>
      </c>
      <c r="C141" s="77">
        <v>12</v>
      </c>
      <c r="D141" s="112">
        <f aca="true" t="shared" si="2" ref="D141:D149">ROUND(F141/$D$6,2)</f>
        <v>113.91</v>
      </c>
      <c r="E141" s="77"/>
      <c r="F141" s="79">
        <f>'прил.5'!F7+'прил.5'!F8+'прил.5'!F9+'прил.5'!F10+'прил.5'!F11+'прил.5'!F12</f>
        <v>104341.95999999999</v>
      </c>
    </row>
    <row r="142" spans="1:6" ht="12.75">
      <c r="A142" s="45" t="s">
        <v>56</v>
      </c>
      <c r="B142" s="17" t="s">
        <v>45</v>
      </c>
      <c r="C142" s="17">
        <v>12</v>
      </c>
      <c r="D142" s="25">
        <f t="shared" si="2"/>
        <v>98.16</v>
      </c>
      <c r="E142" s="17"/>
      <c r="F142" s="82">
        <f>'прил.5'!F13+'прил.5'!F14+'прил.5'!F15+'прил.5'!F16+'прил.5'!F17+'прил.5'!F18</f>
        <v>89916.39488</v>
      </c>
    </row>
    <row r="143" spans="1:6" ht="12.75">
      <c r="A143" s="45" t="str">
        <f>'прил.5'!A19</f>
        <v>горячее водоснабжение</v>
      </c>
      <c r="B143" s="17" t="s">
        <v>45</v>
      </c>
      <c r="C143" s="17"/>
      <c r="D143" s="25">
        <f t="shared" si="2"/>
        <v>585.84</v>
      </c>
      <c r="E143" s="17"/>
      <c r="F143" s="82">
        <f>'прил.5'!F19+'прил.5'!F20+'прил.5'!F21+'прил.5'!F22</f>
        <v>536627.93464</v>
      </c>
    </row>
    <row r="144" spans="1:6" ht="12.75">
      <c r="A144" s="55" t="s">
        <v>10</v>
      </c>
      <c r="B144" s="17" t="s">
        <v>45</v>
      </c>
      <c r="C144" s="17">
        <v>12</v>
      </c>
      <c r="D144" s="25">
        <f t="shared" si="2"/>
        <v>1964.47</v>
      </c>
      <c r="E144" s="17"/>
      <c r="F144" s="82">
        <f>'прил.5'!F23+'прил.5'!F24+'прил.5'!F25+'прил.5'!F26+'прил.5'!F27+'прил.5'!F28</f>
        <v>1799452.7598693129</v>
      </c>
    </row>
    <row r="145" spans="1:6" ht="12.75">
      <c r="A145" s="55" t="s">
        <v>11</v>
      </c>
      <c r="B145" s="17" t="s">
        <v>45</v>
      </c>
      <c r="C145" s="17">
        <v>12</v>
      </c>
      <c r="D145" s="25">
        <f t="shared" si="2"/>
        <v>997.58</v>
      </c>
      <c r="E145" s="17"/>
      <c r="F145" s="82">
        <f>'прил.5'!F29+'прил.5'!F31</f>
        <v>913782.58</v>
      </c>
    </row>
    <row r="146" spans="1:6" ht="12.75" hidden="1">
      <c r="A146" s="55" t="s">
        <v>11</v>
      </c>
      <c r="B146" s="17" t="s">
        <v>45</v>
      </c>
      <c r="C146" s="17">
        <v>12</v>
      </c>
      <c r="D146" s="25">
        <f t="shared" si="2"/>
        <v>941.24</v>
      </c>
      <c r="E146" s="17"/>
      <c r="F146" s="82">
        <f>'прил.5'!F29</f>
        <v>862173.36</v>
      </c>
    </row>
    <row r="147" spans="1:6" ht="12.75">
      <c r="A147" s="45" t="str">
        <f>'прил.5'!A30</f>
        <v>возмещение коммунальных услуг</v>
      </c>
      <c r="B147" s="17" t="s">
        <v>45</v>
      </c>
      <c r="C147" s="17">
        <v>12</v>
      </c>
      <c r="D147" s="25">
        <f t="shared" si="2"/>
        <v>72.47</v>
      </c>
      <c r="E147" s="17"/>
      <c r="F147" s="82">
        <f>'прил.5'!F30</f>
        <v>66378.38</v>
      </c>
    </row>
    <row r="148" spans="1:82" s="30" customFormat="1" ht="13.5" thickBot="1">
      <c r="A148" s="113" t="s">
        <v>70</v>
      </c>
      <c r="B148" s="114"/>
      <c r="C148" s="114"/>
      <c r="D148" s="116">
        <f t="shared" si="2"/>
        <v>3832.42</v>
      </c>
      <c r="E148" s="115"/>
      <c r="F148" s="116">
        <f>ROUND(F141+F142+F143+F144+F145+F147,0)</f>
        <v>3510500</v>
      </c>
      <c r="G148" s="40">
        <v>2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</row>
    <row r="149" spans="1:8" ht="26.25" thickBot="1">
      <c r="A149" s="117" t="s">
        <v>95</v>
      </c>
      <c r="B149" s="118"/>
      <c r="C149" s="118"/>
      <c r="D149" s="119">
        <f t="shared" si="2"/>
        <v>33539.39</v>
      </c>
      <c r="E149" s="118"/>
      <c r="F149" s="120">
        <f>F148+F139+F135+F132+F125+F120+F109+F81+F34</f>
        <v>30722083.68</v>
      </c>
      <c r="G149" s="144"/>
      <c r="H149" s="144"/>
    </row>
    <row r="150" spans="1:6" ht="19.5" thickBot="1">
      <c r="A150" s="621" t="s">
        <v>111</v>
      </c>
      <c r="B150" s="621"/>
      <c r="C150" s="621"/>
      <c r="D150" s="621"/>
      <c r="E150" s="621"/>
      <c r="F150" s="621"/>
    </row>
    <row r="151" spans="1:6" ht="12.75">
      <c r="A151" s="92" t="s">
        <v>44</v>
      </c>
      <c r="B151" s="77" t="s">
        <v>45</v>
      </c>
      <c r="C151" s="121">
        <v>0.022</v>
      </c>
      <c r="D151" s="112">
        <f aca="true" t="shared" si="3" ref="D151:D159">ROUND(F151/$D$6,2)</f>
        <v>2327.12</v>
      </c>
      <c r="E151" s="77"/>
      <c r="F151" s="413">
        <f>'прил.6'!D7+'прил.6'!D8+'прил.6'!D6</f>
        <v>2131639</v>
      </c>
    </row>
    <row r="152" spans="1:7" ht="12.75">
      <c r="A152" s="89" t="s">
        <v>46</v>
      </c>
      <c r="B152" s="17" t="s">
        <v>45</v>
      </c>
      <c r="C152" s="19">
        <v>0.015</v>
      </c>
      <c r="D152" s="25">
        <f t="shared" si="3"/>
        <v>465.05</v>
      </c>
      <c r="E152" s="17"/>
      <c r="F152" s="411">
        <f>'прил.6'!D9+'прил.6'!D10</f>
        <v>425983</v>
      </c>
      <c r="G152" s="15"/>
    </row>
    <row r="153" spans="1:7" ht="12.75">
      <c r="A153" s="122" t="s">
        <v>72</v>
      </c>
      <c r="B153" s="17" t="s">
        <v>45</v>
      </c>
      <c r="C153" s="19"/>
      <c r="D153" s="25">
        <f t="shared" si="3"/>
        <v>0</v>
      </c>
      <c r="E153" s="17"/>
      <c r="F153" s="82">
        <f>'прил.6'!D11</f>
        <v>0</v>
      </c>
      <c r="G153" s="15"/>
    </row>
    <row r="154" spans="1:7" ht="12.75">
      <c r="A154" s="89" t="s">
        <v>73</v>
      </c>
      <c r="B154" s="17" t="s">
        <v>45</v>
      </c>
      <c r="C154" s="19"/>
      <c r="D154" s="25">
        <f t="shared" si="3"/>
        <v>0</v>
      </c>
      <c r="E154" s="17"/>
      <c r="F154" s="82">
        <f>'прил.6'!D12</f>
        <v>0</v>
      </c>
      <c r="G154" s="15"/>
    </row>
    <row r="155" spans="1:7" ht="12.75">
      <c r="A155" s="89" t="s">
        <v>89</v>
      </c>
      <c r="B155" s="17" t="s">
        <v>45</v>
      </c>
      <c r="C155" s="19"/>
      <c r="D155" s="25">
        <f t="shared" si="3"/>
        <v>20.25</v>
      </c>
      <c r="E155" s="17"/>
      <c r="F155" s="82">
        <f>'прил.6'!D13</f>
        <v>18548</v>
      </c>
      <c r="G155" s="15"/>
    </row>
    <row r="156" spans="1:6" ht="12.75">
      <c r="A156" s="89"/>
      <c r="B156" s="17"/>
      <c r="C156" s="19"/>
      <c r="D156" s="25">
        <f t="shared" si="3"/>
        <v>0</v>
      </c>
      <c r="E156" s="17"/>
      <c r="F156" s="82"/>
    </row>
    <row r="157" spans="1:6" ht="12.75">
      <c r="A157" s="89"/>
      <c r="B157" s="17"/>
      <c r="C157" s="19"/>
      <c r="D157" s="25">
        <f t="shared" si="3"/>
        <v>0</v>
      </c>
      <c r="E157" s="17"/>
      <c r="F157" s="82"/>
    </row>
    <row r="158" spans="1:6" ht="12.75">
      <c r="A158" s="89"/>
      <c r="B158" s="17"/>
      <c r="C158" s="19"/>
      <c r="D158" s="25">
        <f t="shared" si="3"/>
        <v>0</v>
      </c>
      <c r="E158" s="17"/>
      <c r="F158" s="82"/>
    </row>
    <row r="159" spans="1:7" ht="13.5" thickBot="1">
      <c r="A159" s="129" t="s">
        <v>70</v>
      </c>
      <c r="B159" s="130"/>
      <c r="C159" s="131"/>
      <c r="D159" s="132">
        <f t="shared" si="3"/>
        <v>2812.41</v>
      </c>
      <c r="E159" s="130"/>
      <c r="F159" s="412">
        <f>SUM(F151:F157)</f>
        <v>2576170</v>
      </c>
      <c r="G159" s="40">
        <v>3</v>
      </c>
    </row>
    <row r="160" spans="1:6" ht="19.5" thickBot="1">
      <c r="A160" s="123" t="s">
        <v>94</v>
      </c>
      <c r="B160" s="124"/>
      <c r="C160" s="124"/>
      <c r="D160" s="125">
        <f>ROUND(F160/$D$6,2)</f>
        <v>60786.26</v>
      </c>
      <c r="E160" s="126"/>
      <c r="F160" s="470">
        <f>F159+F149+F14</f>
        <v>55680218</v>
      </c>
    </row>
    <row r="161" ht="12.75">
      <c r="F161" s="32"/>
    </row>
    <row r="162" ht="12.75">
      <c r="F162" s="23"/>
    </row>
    <row r="163" spans="1:5" ht="12.75">
      <c r="A163" s="127" t="s">
        <v>120</v>
      </c>
      <c r="C163" s="128"/>
      <c r="D163" s="11" t="s">
        <v>389</v>
      </c>
      <c r="E163" s="152"/>
    </row>
    <row r="166" spans="1:5" ht="12.75">
      <c r="A166" t="s">
        <v>105</v>
      </c>
      <c r="D166" s="11" t="s">
        <v>390</v>
      </c>
      <c r="E166" s="152"/>
    </row>
    <row r="167" spans="1:6" ht="12.75">
      <c r="A167" s="148"/>
      <c r="B167" s="148"/>
      <c r="C167" s="148"/>
      <c r="D167" s="148"/>
      <c r="E167" s="148"/>
      <c r="F167" s="148"/>
    </row>
  </sheetData>
  <sheetProtection/>
  <mergeCells count="25">
    <mergeCell ref="A46:F46"/>
    <mergeCell ref="A50:F50"/>
    <mergeCell ref="A136:F136"/>
    <mergeCell ref="A121:F121"/>
    <mergeCell ref="A133:F133"/>
    <mergeCell ref="A82:F82"/>
    <mergeCell ref="A89:F89"/>
    <mergeCell ref="A150:F150"/>
    <mergeCell ref="A140:F140"/>
    <mergeCell ref="A96:F96"/>
    <mergeCell ref="A110:F110"/>
    <mergeCell ref="A122:F122"/>
    <mergeCell ref="A9:F9"/>
    <mergeCell ref="A29:F29"/>
    <mergeCell ref="A28:F28"/>
    <mergeCell ref="A126:F126"/>
    <mergeCell ref="A35:F35"/>
    <mergeCell ref="A21:F21"/>
    <mergeCell ref="A40:F40"/>
    <mergeCell ref="A7:F7"/>
    <mergeCell ref="A1:F1"/>
    <mergeCell ref="A2:F2"/>
    <mergeCell ref="A3:F3"/>
    <mergeCell ref="A5:F5"/>
    <mergeCell ref="A15:F15"/>
  </mergeCells>
  <printOptions/>
  <pageMargins left="1.1811023622047245" right="0" top="0.1968503937007874" bottom="0.1968503937007874" header="0.31496062992125984" footer="0.31496062992125984"/>
  <pageSetup horizontalDpi="600" verticalDpi="600" orientation="portrait" paperSize="9" scale="82" r:id="rId1"/>
  <rowBreaks count="3" manualBreakCount="3">
    <brk id="27" max="5" man="1"/>
    <brk id="48" max="5" man="1"/>
    <brk id="135" max="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22"/>
  <sheetViews>
    <sheetView view="pageBreakPreview" zoomScaleSheetLayoutView="100" zoomScalePageLayoutView="0" workbookViewId="0" topLeftCell="A4">
      <selection activeCell="C18" sqref="C18"/>
    </sheetView>
  </sheetViews>
  <sheetFormatPr defaultColWidth="9.00390625" defaultRowHeight="12.75"/>
  <cols>
    <col min="1" max="1" width="12.125" style="0" customWidth="1"/>
    <col min="2" max="2" width="15.625" style="0" customWidth="1"/>
    <col min="3" max="3" width="18.125" style="0" customWidth="1"/>
    <col min="4" max="4" width="15.125" style="0" customWidth="1"/>
  </cols>
  <sheetData>
    <row r="2" spans="1:4" ht="18">
      <c r="A2" s="637" t="s">
        <v>91</v>
      </c>
      <c r="B2" s="637"/>
      <c r="C2" s="637"/>
      <c r="D2" s="637"/>
    </row>
    <row r="5" spans="1:4" ht="26.25" customHeight="1">
      <c r="A5" s="1" t="s">
        <v>74</v>
      </c>
      <c r="B5" s="1" t="s">
        <v>75</v>
      </c>
      <c r="C5" s="1" t="s">
        <v>2</v>
      </c>
      <c r="D5" s="1" t="s">
        <v>76</v>
      </c>
    </row>
    <row r="6" spans="1:6" s="26" customFormat="1" ht="13.5" customHeight="1">
      <c r="A6" s="27"/>
      <c r="B6" s="28">
        <f>SUM(B7:B20)</f>
        <v>55680218</v>
      </c>
      <c r="C6" s="28">
        <f>'свод '!F160</f>
        <v>55680218</v>
      </c>
      <c r="D6" s="28">
        <f>SUM(D7:D20)</f>
        <v>0</v>
      </c>
      <c r="E6" s="26" t="s">
        <v>448</v>
      </c>
      <c r="F6" s="400"/>
    </row>
    <row r="7" spans="1:5" ht="13.5" customHeight="1">
      <c r="A7" s="1">
        <v>211</v>
      </c>
      <c r="B7" s="386">
        <v>34066113</v>
      </c>
      <c r="C7" s="18">
        <f>'свод '!F16+'свод '!F36</f>
        <v>34066113</v>
      </c>
      <c r="D7" s="18">
        <f aca="true" t="shared" si="0" ref="D7:D20">B7-C7</f>
        <v>0</v>
      </c>
      <c r="E7" t="s">
        <v>448</v>
      </c>
    </row>
    <row r="8" spans="1:5" ht="13.5" customHeight="1">
      <c r="A8" s="1">
        <v>213</v>
      </c>
      <c r="B8" s="386">
        <v>10287967</v>
      </c>
      <c r="C8" s="18">
        <f>'свод '!F17+'свод '!F38</f>
        <v>10287967</v>
      </c>
      <c r="D8" s="18">
        <f t="shared" si="0"/>
        <v>0</v>
      </c>
      <c r="E8" t="s">
        <v>448</v>
      </c>
    </row>
    <row r="9" spans="1:5" ht="13.5" customHeight="1">
      <c r="A9" s="1">
        <v>226</v>
      </c>
      <c r="B9" s="386">
        <v>32793</v>
      </c>
      <c r="C9" s="18">
        <f>'свод '!F19</f>
        <v>32793</v>
      </c>
      <c r="D9" s="18">
        <f t="shared" si="0"/>
        <v>0</v>
      </c>
      <c r="E9" t="s">
        <v>448</v>
      </c>
    </row>
    <row r="10" spans="1:5" ht="13.5" customHeight="1">
      <c r="A10" s="1">
        <v>340</v>
      </c>
      <c r="B10" s="386">
        <v>307188</v>
      </c>
      <c r="C10" s="18">
        <f>'прил.1+2'!F14</f>
        <v>307188</v>
      </c>
      <c r="D10" s="18">
        <f t="shared" si="0"/>
        <v>0</v>
      </c>
      <c r="E10" t="s">
        <v>448</v>
      </c>
    </row>
    <row r="11" spans="1:4" ht="13.5" customHeight="1">
      <c r="A11" s="1"/>
      <c r="B11" s="146"/>
      <c r="C11" s="18"/>
      <c r="D11" s="18"/>
    </row>
    <row r="12" spans="1:5" ht="13.5" customHeight="1">
      <c r="A12" s="1">
        <v>211</v>
      </c>
      <c r="B12" s="146">
        <v>2485668</v>
      </c>
      <c r="C12" s="18">
        <f>'прил.1+2'!G57+'прил.1+2'!G58</f>
        <v>2485668</v>
      </c>
      <c r="D12" s="18">
        <f>B12-C12</f>
        <v>0</v>
      </c>
      <c r="E12" t="s">
        <v>448</v>
      </c>
    </row>
    <row r="13" spans="1:5" ht="13.5" customHeight="1">
      <c r="A13" s="1">
        <v>212</v>
      </c>
      <c r="B13" s="146">
        <v>8400</v>
      </c>
      <c r="C13" s="18">
        <f>'свод '!F33</f>
        <v>8400</v>
      </c>
      <c r="D13" s="18">
        <f>B13-C13</f>
        <v>0</v>
      </c>
      <c r="E13" t="s">
        <v>448</v>
      </c>
    </row>
    <row r="14" spans="1:5" ht="13.5" customHeight="1">
      <c r="A14" s="1">
        <v>213</v>
      </c>
      <c r="B14" s="146">
        <v>750672</v>
      </c>
      <c r="C14" s="18">
        <f>'прил.1+2'!H60</f>
        <v>750672</v>
      </c>
      <c r="D14" s="18">
        <f>B14-C14</f>
        <v>0</v>
      </c>
      <c r="E14" t="s">
        <v>448</v>
      </c>
    </row>
    <row r="15" spans="1:5" ht="13.5" customHeight="1">
      <c r="A15" s="1">
        <v>221</v>
      </c>
      <c r="B15" s="146">
        <v>60235</v>
      </c>
      <c r="C15" s="18">
        <f>'свод '!F109</f>
        <v>60235</v>
      </c>
      <c r="D15" s="18">
        <f t="shared" si="0"/>
        <v>0</v>
      </c>
      <c r="E15" t="s">
        <v>448</v>
      </c>
    </row>
    <row r="16" spans="1:5" ht="13.5" customHeight="1">
      <c r="A16" s="1">
        <v>223</v>
      </c>
      <c r="B16" s="386">
        <v>3510500</v>
      </c>
      <c r="C16" s="18">
        <f>'свод '!F148</f>
        <v>3510500</v>
      </c>
      <c r="D16" s="18">
        <f t="shared" si="0"/>
        <v>0</v>
      </c>
      <c r="E16" t="s">
        <v>448</v>
      </c>
    </row>
    <row r="17" spans="1:5" ht="13.5" customHeight="1">
      <c r="A17" s="1">
        <v>225</v>
      </c>
      <c r="B17" s="386">
        <v>639075</v>
      </c>
      <c r="C17" s="18">
        <f>ROUND(SUM('прил.3'!F6:F12,'прил.3'!F14:F37,'прил.3'!F99),0)</f>
        <v>639075</v>
      </c>
      <c r="D17" s="18">
        <f t="shared" si="0"/>
        <v>0</v>
      </c>
      <c r="E17" t="s">
        <v>448</v>
      </c>
    </row>
    <row r="18" spans="1:5" ht="13.5" customHeight="1">
      <c r="A18" s="1">
        <v>226</v>
      </c>
      <c r="B18" s="386">
        <v>300554</v>
      </c>
      <c r="C18" s="18">
        <f>ROUND(('прил.3'!F13+'прил.3'!F88+'прил.3'!F89+'прил.3'!F93+'прил.3'!F94+'прил.3'!F95+'прил.3'!F101+'прил.3'!F102),0)</f>
        <v>300554</v>
      </c>
      <c r="D18" s="18">
        <f t="shared" si="0"/>
        <v>0</v>
      </c>
      <c r="E18" t="s">
        <v>448</v>
      </c>
    </row>
    <row r="19" spans="1:5" ht="13.5" customHeight="1">
      <c r="A19" s="1">
        <v>290</v>
      </c>
      <c r="B19" s="386">
        <v>2576170</v>
      </c>
      <c r="C19" s="414">
        <f>'свод '!F151+'свод '!F152+'свод '!F153+'свод '!F154+'свод '!F155</f>
        <v>2576170</v>
      </c>
      <c r="D19" s="18">
        <f t="shared" si="0"/>
        <v>0</v>
      </c>
      <c r="E19" t="s">
        <v>448</v>
      </c>
    </row>
    <row r="20" spans="1:5" ht="13.5" customHeight="1">
      <c r="A20" s="1">
        <v>340</v>
      </c>
      <c r="B20" s="146">
        <v>654883</v>
      </c>
      <c r="C20" s="18">
        <f>+'прил.3'!D76</f>
        <v>654883</v>
      </c>
      <c r="D20" s="18">
        <f t="shared" si="0"/>
        <v>0</v>
      </c>
      <c r="E20" t="s">
        <v>448</v>
      </c>
    </row>
    <row r="22" ht="12.75">
      <c r="C22" s="33"/>
    </row>
  </sheetData>
  <sheetProtection/>
  <mergeCells count="1">
    <mergeCell ref="A2:D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Абсалямова</dc:creator>
  <cp:keywords/>
  <dc:description/>
  <cp:lastModifiedBy>Стас</cp:lastModifiedBy>
  <cp:lastPrinted>2015-10-09T06:05:30Z</cp:lastPrinted>
  <dcterms:created xsi:type="dcterms:W3CDTF">2011-03-16T08:18:32Z</dcterms:created>
  <dcterms:modified xsi:type="dcterms:W3CDTF">2015-10-23T20:08:38Z</dcterms:modified>
  <cp:category/>
  <cp:version/>
  <cp:contentType/>
  <cp:contentStatus/>
</cp:coreProperties>
</file>