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8460" windowHeight="5865" tabRatio="820" activeTab="1"/>
  </bookViews>
  <sheets>
    <sheet name="коммуналка" sheetId="1" r:id="rId1"/>
    <sheet name="20.05 субсидия" sheetId="2" r:id="rId2"/>
    <sheet name="Субвенция" sheetId="3" r:id="rId3"/>
    <sheet name="1210121020_612" sheetId="4" r:id="rId4"/>
    <sheet name="1210821090пр.питан(13.07.2016)" sheetId="5" r:id="rId5"/>
    <sheet name="1211121130_612" sheetId="6" r:id="rId6"/>
    <sheet name="1211921150_612" sheetId="7" r:id="rId7"/>
    <sheet name="9990021020(23.09.2016)" sheetId="8" r:id="rId8"/>
    <sheet name="9990021070 (17.08.2016)" sheetId="9" r:id="rId9"/>
    <sheet name="9990021090 20.06)" sheetId="10" r:id="rId10"/>
    <sheet name="9940090300 (16.09.16)" sheetId="11" r:id="rId11"/>
    <sheet name="9990091030" sheetId="12" r:id="rId12"/>
    <sheet name="9990091040" sheetId="13" r:id="rId13"/>
    <sheet name="9990021150 (20.09.2016)" sheetId="14" r:id="rId14"/>
    <sheet name="900 свод" sheetId="15" r:id="rId15"/>
    <sheet name="платные (12.08.2016)" sheetId="16" r:id="rId16"/>
    <sheet name="родит.плата" sheetId="17" r:id="rId17"/>
    <sheet name="питание сотрудников" sheetId="18" r:id="rId18"/>
    <sheet name="9990021130" sheetId="19" r:id="rId19"/>
  </sheets>
  <definedNames>
    <definedName name="_xlnm.Print_Area" localSheetId="7">'9990021020(23.09.2016)'!$A$1:$O$100</definedName>
    <definedName name="_xlnm.Print_Area" localSheetId="8">'9990021070 (17.08.2016)'!$A$1:$O$42</definedName>
    <definedName name="_xlnm.Print_Area" localSheetId="2">'Субвенция'!$A$1:$O$41</definedName>
  </definedNames>
  <calcPr fullCalcOnLoad="1" refMode="R1C1"/>
</workbook>
</file>

<file path=xl/sharedStrings.xml><?xml version="1.0" encoding="utf-8"?>
<sst xmlns="http://schemas.openxmlformats.org/spreadsheetml/2006/main" count="1092" uniqueCount="399">
  <si>
    <t>*</t>
  </si>
  <si>
    <t>мес.</t>
  </si>
  <si>
    <t>=</t>
  </si>
  <si>
    <t>руб.</t>
  </si>
  <si>
    <t>-</t>
  </si>
  <si>
    <t>расшифровка подписи</t>
  </si>
  <si>
    <t>Расчет расходов бюджета по аналитическому коду  211</t>
  </si>
  <si>
    <t>"Заработная плата"</t>
  </si>
  <si>
    <t>Расчет расходов бюджета по аналитическому коду  213</t>
  </si>
  <si>
    <t>"Начисления на выплаты по оплате труда"</t>
  </si>
  <si>
    <t>Расчет расходов бюджета по аналитическому коду  340</t>
  </si>
  <si>
    <t>"Увеличение стоимости материальных запасов"</t>
  </si>
  <si>
    <t>С.В. Сорокина</t>
  </si>
  <si>
    <t>Заведующая</t>
  </si>
  <si>
    <t>Главный бухгалтер</t>
  </si>
  <si>
    <t>974 0701 12 1 2102 611</t>
  </si>
  <si>
    <t>Расчет расходов бюджета по аналитическому коду  212</t>
  </si>
  <si>
    <t>"Прочие выплаты"</t>
  </si>
  <si>
    <t>чел.</t>
  </si>
  <si>
    <t>Расчет расходов бюджета по аналитическому коду  221</t>
  </si>
  <si>
    <t>"Услуги связи"</t>
  </si>
  <si>
    <t>номер</t>
  </si>
  <si>
    <t>минут</t>
  </si>
  <si>
    <t>интернет</t>
  </si>
  <si>
    <t>Расчет расходов бюджета по аналитическому коду  223</t>
  </si>
  <si>
    <t>"Коммунальные услуги"</t>
  </si>
  <si>
    <t>Гкал</t>
  </si>
  <si>
    <t>куб.м.</t>
  </si>
  <si>
    <t>квт.</t>
  </si>
  <si>
    <t>м2</t>
  </si>
  <si>
    <t>мес</t>
  </si>
  <si>
    <t>здания</t>
  </si>
  <si>
    <t>Расчет расходов бюджета по аналитическому коду  226</t>
  </si>
  <si>
    <t>"Прочие работы, услуги "</t>
  </si>
  <si>
    <t>медосмотр сотрудников  жен.</t>
  </si>
  <si>
    <t>муж.</t>
  </si>
  <si>
    <t>ренген</t>
  </si>
  <si>
    <t>Расчет расходов бюджета по аналитическому коду  290</t>
  </si>
  <si>
    <t>"Прочие расходы"</t>
  </si>
  <si>
    <t>налог на имущество 2,2% от остаточной стоимости о.с.</t>
  </si>
  <si>
    <t>налог на землю 1.5% от кадастровой стоимости</t>
  </si>
  <si>
    <t>58:29:3008002:4160      58:29:3007014:59        58:29:3005004:21</t>
  </si>
  <si>
    <t xml:space="preserve">Заведующая МБДОУ 120 </t>
  </si>
  <si>
    <t>____________</t>
  </si>
  <si>
    <t xml:space="preserve">Главный бухгалтер МБДОУ 120 </t>
  </si>
  <si>
    <t>Расчет расходов бюджета по аналитическому коду  225</t>
  </si>
  <si>
    <t>"Работа, услуги по содержанию имущества"</t>
  </si>
  <si>
    <t>974 0701 1212102 611</t>
  </si>
  <si>
    <t xml:space="preserve"> </t>
  </si>
  <si>
    <t>"Прочие работы, услуги"</t>
  </si>
  <si>
    <t>Дети</t>
  </si>
  <si>
    <t>Родительская плата 1 дня, руб.</t>
  </si>
  <si>
    <t>Кол-во дней</t>
  </si>
  <si>
    <t>Итого, руб.</t>
  </si>
  <si>
    <t>Заведующая МБДОУ 120</t>
  </si>
  <si>
    <t>Главный бухгалетр МБДОУ 120</t>
  </si>
  <si>
    <t>"Работы, услуги по содержанию имущества"</t>
  </si>
  <si>
    <t>Итого</t>
  </si>
  <si>
    <t xml:space="preserve">Главный бухгалтер бухгалтер МБДОУ 120 </t>
  </si>
  <si>
    <t>Доходы</t>
  </si>
  <si>
    <t>доходы от родительской платы</t>
  </si>
  <si>
    <t>доходы от оказания платных образовательных услуг</t>
  </si>
  <si>
    <t>Расходы</t>
  </si>
  <si>
    <t xml:space="preserve">ст 211 " заработная плата" </t>
  </si>
  <si>
    <t>ст 213 "Начисления на выплаты по заработной плате"</t>
  </si>
  <si>
    <t>ст 225 "Работы, услуги по содержанию имущества"</t>
  </si>
  <si>
    <t>ст 226 "Прочие услуги"</t>
  </si>
  <si>
    <t>ст 310 "Увеличение стоимости основных средств"</t>
  </si>
  <si>
    <t>340 "Увеличение стоимости материальных запасов"</t>
  </si>
  <si>
    <t>Заведующая  МБДОУ 120 г. Пензы</t>
  </si>
  <si>
    <t>Сорокина С.В.</t>
  </si>
  <si>
    <t>Главный бухгалтер МБДОУ 120</t>
  </si>
  <si>
    <t>Неупокоева Е.В.</t>
  </si>
  <si>
    <t>Платные образовательные услуги</t>
  </si>
  <si>
    <r>
      <t>1.Эстрадная студия «</t>
    </r>
    <r>
      <rPr>
        <b/>
        <sz val="12"/>
        <rFont val="Times New Roman"/>
        <family val="1"/>
      </rPr>
      <t>Солнышко</t>
    </r>
    <r>
      <rPr>
        <sz val="12"/>
        <rFont val="Times New Roman"/>
        <family val="1"/>
      </rPr>
      <t>»:</t>
    </r>
  </si>
  <si>
    <r>
      <t>3.</t>
    </r>
    <r>
      <rPr>
        <b/>
        <sz val="12"/>
        <rFont val="Times New Roman"/>
        <family val="1"/>
      </rPr>
      <t xml:space="preserve"> "Пчелка"</t>
    </r>
    <r>
      <rPr>
        <sz val="12"/>
        <rFont val="Times New Roman"/>
        <family val="1"/>
      </rPr>
      <t>:</t>
    </r>
  </si>
  <si>
    <t>9. Цветные горошинки</t>
  </si>
  <si>
    <t>10. Волшебная кисточка</t>
  </si>
  <si>
    <t>11. Домисолька</t>
  </si>
  <si>
    <t>15. Умелые ручки</t>
  </si>
  <si>
    <t>974 0701 04.02.000</t>
  </si>
  <si>
    <t>Семина Г.Б.</t>
  </si>
  <si>
    <t>Ефанкина Е.В.</t>
  </si>
  <si>
    <t>Куликова В.М.</t>
  </si>
  <si>
    <t>шт</t>
  </si>
  <si>
    <t>канцтовары</t>
  </si>
  <si>
    <t>РАСХОД:</t>
  </si>
  <si>
    <t xml:space="preserve">Заведующая  МБДОУ 120 </t>
  </si>
  <si>
    <t>питание детей</t>
  </si>
  <si>
    <t>руб</t>
  </si>
  <si>
    <t>противопожарные мероприятия</t>
  </si>
  <si>
    <t>маммограф</t>
  </si>
  <si>
    <t>расходные материалы</t>
  </si>
  <si>
    <t>974 0701 1210376210 611</t>
  </si>
  <si>
    <t>974 0701 1210121020 612</t>
  </si>
  <si>
    <t>Установка, замена счетчиков ХВС</t>
  </si>
  <si>
    <t>974 0701 1210821090 612</t>
  </si>
  <si>
    <t>кол-во детей до 3-х лет всего</t>
  </si>
  <si>
    <t>кол-во детей от 3-х до 7 лет всего</t>
  </si>
  <si>
    <t>кол-во детей до 3-х лет, одинокие мамы</t>
  </si>
  <si>
    <t>кол-во детей от 3-х до 7 лет, одинокие мамы</t>
  </si>
  <si>
    <t>кол-во детей до 3-х лет, инвалиды</t>
  </si>
  <si>
    <t>кол-во детей от 3-х до 7 лет, инвалиды</t>
  </si>
  <si>
    <t>кол-во детей до 3-х лет, многодетная семья</t>
  </si>
  <si>
    <t>кол-во детей от 3-х до 7 лет, многодетная семья</t>
  </si>
  <si>
    <t>974 0701 1211121130 612</t>
  </si>
  <si>
    <t>замена оконных блоков в филиале 1</t>
  </si>
  <si>
    <t>974 0701 1211921150 612</t>
  </si>
  <si>
    <t>Кол-во детей до 3-х лет всего</t>
  </si>
  <si>
    <t>Кол-во детей от 3-х до 7 лет всего</t>
  </si>
  <si>
    <t>Кол-во детей до 3-х лет  инвалиды</t>
  </si>
  <si>
    <t>Кол-во детей от 3 до 7 лет  инвалиды</t>
  </si>
  <si>
    <t>Кол-во детей до 3-х лет  одинокие мамы</t>
  </si>
  <si>
    <t>Кол-во детей от 3 до 7 лет одинокие мамы</t>
  </si>
  <si>
    <t>Кол-во детей до 3-х лет  многодетная семья</t>
  </si>
  <si>
    <t>Кол-во детей от 3 до 7 лет многодетная семья</t>
  </si>
  <si>
    <t>Остаток на 01.01.2016</t>
  </si>
  <si>
    <r>
      <t>2.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«Фитнес-Данс"»</t>
    </r>
    <r>
      <rPr>
        <sz val="12"/>
        <rFont val="Times New Roman"/>
        <family val="1"/>
      </rPr>
      <t>:</t>
    </r>
  </si>
  <si>
    <t>40 чел х80 руб х 8 зан х 9 мес = 230400,000</t>
  </si>
  <si>
    <t>10 чел х 70 руб х 8 зан х9 мес = 50400,00</t>
  </si>
  <si>
    <t>10 чел х 80 руб х 8 зан х 9 мес = 57600,00</t>
  </si>
  <si>
    <t>4. "Развивайка"</t>
  </si>
  <si>
    <t>20 чел х 85 руб х 8 зан х 9 мес = 122400,00</t>
  </si>
  <si>
    <r>
      <t>5.</t>
    </r>
    <r>
      <rPr>
        <b/>
        <sz val="12"/>
        <rFont val="Times New Roman"/>
        <family val="1"/>
      </rPr>
      <t xml:space="preserve"> "Звуковичок"</t>
    </r>
  </si>
  <si>
    <t>6. Эрудит</t>
  </si>
  <si>
    <t>20 чел х 80 руб х 8 зан х 9 мес = 115200,00</t>
  </si>
  <si>
    <t>7. "Мой мир"</t>
  </si>
  <si>
    <t>10 чел х 75 руб х 8 зан х 9 мес = 54000,00</t>
  </si>
  <si>
    <t>8. ИЗО студия Акварелька"</t>
  </si>
  <si>
    <t>20 чел х 75 руб х 8 зан х 9 мес = 108000,00</t>
  </si>
  <si>
    <t>12. Мастерилки</t>
  </si>
  <si>
    <t>10 чел х 85 руб х 8 зан х 9 мес = 61200,00</t>
  </si>
  <si>
    <t>13. Детский фитнес</t>
  </si>
  <si>
    <t>14. Шалунишки</t>
  </si>
  <si>
    <t>30 чел х 75 руб х 8 зан х 9 мес = 162000,00</t>
  </si>
  <si>
    <t>16.Дошколенок</t>
  </si>
  <si>
    <t>17. "Тэквандо"</t>
  </si>
  <si>
    <t>30 чел х 85 руб х 8 зан х 9 мес = 183600,00</t>
  </si>
  <si>
    <t>17. Хореография</t>
  </si>
  <si>
    <t>50 чел х 80 руб х 8 зан х 9 мес = 288000,00</t>
  </si>
  <si>
    <t>Расчет расходов внебюджета по аналитическому коду  211</t>
  </si>
  <si>
    <t>Корягина Н.В.</t>
  </si>
  <si>
    <t>Тишкина Л.В.</t>
  </si>
  <si>
    <t>Грязнова Л.П.</t>
  </si>
  <si>
    <t>Карпенко В.И.</t>
  </si>
  <si>
    <t>Валынова О.Н.</t>
  </si>
  <si>
    <t>Кожевникова Н.И.</t>
  </si>
  <si>
    <t>Сафонова Г.В.</t>
  </si>
  <si>
    <t>Тюрина Е.А.</t>
  </si>
  <si>
    <t>Ломакина Е.В.</t>
  </si>
  <si>
    <t>Агейкина Т.С.</t>
  </si>
  <si>
    <t>Новичкова С.С.</t>
  </si>
  <si>
    <t>Токарева Ю.В.</t>
  </si>
  <si>
    <t>Баландина Е.Г.</t>
  </si>
  <si>
    <t>Борисова Ю.В.</t>
  </si>
  <si>
    <t>Остапенко А.В.</t>
  </si>
  <si>
    <t>Горюшова Н.В.</t>
  </si>
  <si>
    <t>Шикула Е.А.</t>
  </si>
  <si>
    <t>Мишина Ю.В.</t>
  </si>
  <si>
    <t>Медведева А.В.</t>
  </si>
  <si>
    <t>Селезнева В.В.</t>
  </si>
  <si>
    <t>Трушникова Н.Ю.</t>
  </si>
  <si>
    <t>Расчет расходов внебюджета по аналитическому коду  226</t>
  </si>
  <si>
    <t>Расчет расходов внебюджета по аналитическому коду  310</t>
  </si>
  <si>
    <t>"Увеличение стоимости основных средств"</t>
  </si>
  <si>
    <t>Расчет расходов внебюджета по аналитическому коду  340</t>
  </si>
  <si>
    <t>моющие средства</t>
  </si>
  <si>
    <t>питание сотрудников</t>
  </si>
  <si>
    <t xml:space="preserve">ДОХОД : </t>
  </si>
  <si>
    <t>Продукты питания</t>
  </si>
  <si>
    <t>РОДИТЕЛЬСКАЯ ПЛАТА</t>
  </si>
  <si>
    <t xml:space="preserve"> 04.02.000 </t>
  </si>
  <si>
    <t>Итого:</t>
  </si>
  <si>
    <t>Продукты питания на питание сотрудников</t>
  </si>
  <si>
    <t>Поступление от питания сотрудников</t>
  </si>
  <si>
    <t>дератизация ИП Володина дог № 264/16 от 11.01.2016</t>
  </si>
  <si>
    <t>т/т оборудования ООО "Пензаторгтехника" дог № 1 от 11.01.2016</t>
  </si>
  <si>
    <t>тех. обслуж. Бассейна ООО "Аква-Лайф" дог № 02 от 01.02.2016</t>
  </si>
  <si>
    <t>колибровка дозирующего оборудования ООО "Аква-Лайф" дог № 15 от 09.02.2016</t>
  </si>
  <si>
    <t>т/о контроля системы доступа ООО "Безопасность и комфорт" дог № 241-ТО от 11.01.2016</t>
  </si>
  <si>
    <t xml:space="preserve">обслуживание системы погодного регулирования теплосчетчиков ООО "Интоп плюс" </t>
  </si>
  <si>
    <t>дог № 23-01-16А от 11.01.2016</t>
  </si>
  <si>
    <t>тех. обслуж. Теплосчетчиковков ООО "Интоп плюс" дог № ТО44/2016 от 11.01.2016</t>
  </si>
  <si>
    <t>с/о оборудования филиал № 2  ООО "Климат" дог № 945 от 01.01.2016</t>
  </si>
  <si>
    <t>т/о лифта филиал № 2 ООО "Лифтремонт" дог № 2/16 от 11.01.2016</t>
  </si>
  <si>
    <t>т/о лифта корпус № 2 головное учреждение ООО "Лифтремонт" дог № 7/16 от 10.03.2016</t>
  </si>
  <si>
    <t>тех. обслуж. Теплосчетчиковков ООО "Оттим-Сервис"" дог № УО-12/2016 от 11.01.2016</t>
  </si>
  <si>
    <t>здание</t>
  </si>
  <si>
    <t>Вывоз мусора ООО "Спецтранс" дог № 586Б от 11.01.2016</t>
  </si>
  <si>
    <t>тех.обслуж. средств радиомодема прямой связи ООО "Чернобылец" дог № 14/АБ от 11.01.2016</t>
  </si>
  <si>
    <t>техническое обслуживание мониторинга и АПС  ООО "Чернобылец" дог № 25/Р-1 от 11.01.2016</t>
  </si>
  <si>
    <t>т/о видеонаблюдения ООО "Чернобылец" дог № 199/Р-1 от 11.01.2016</t>
  </si>
  <si>
    <t>т/о огнетушителей филиал №2 ООО "Чернобылец" дог № 015-ТО от 09.02.2016</t>
  </si>
  <si>
    <t>кв.</t>
  </si>
  <si>
    <t>тех.обслуж.сигнализации филиал ФГУП "Охрана" МВД России по Пенз.обл. дог № 6004009074 от 11.01.2016</t>
  </si>
  <si>
    <t>охрана  ОВО  по г. Пензе - филиала ФГКУ УВО УМВД России по Пензенской области дог № 527/КЭВ от 01.01.2016</t>
  </si>
  <si>
    <t>ООО "Здоровье+" дог № 62 от 11.01.2016</t>
  </si>
  <si>
    <t>1С сопрровождение ИП Яшин Н.В. дог № 15-12-731 от 11.01.2016</t>
  </si>
  <si>
    <t>электронная отчетность ООО "Сбис ЭО" дог № 589055230 от 24.02.2016</t>
  </si>
  <si>
    <t xml:space="preserve"> договор медперсонала</t>
  </si>
  <si>
    <t>монтаж телефонной связи ПАО "Ростелеком" дог № 358000024535/1 от 18.03.2016</t>
  </si>
  <si>
    <t>ООО "Пензенский учколлектор" дог № 16 от 17.02.2016 (приложение №1)</t>
  </si>
  <si>
    <t>974 0701 9990021020 612</t>
  </si>
  <si>
    <t>Задолженность за декабрь 2015 г.</t>
  </si>
  <si>
    <t>Кредиторская задолженность дог.№ 588-Б от 09.01.2014 г. ООО "Спецтранс" вывоз мусора</t>
  </si>
  <si>
    <t>Кредиторская задолженность дог.№ 588-Б от 01.07.2015 г. ООО "Спецтранс" вывоз мусора</t>
  </si>
  <si>
    <t>974 0701 9990021090 612</t>
  </si>
  <si>
    <t>Кредиторская задолженность дог.№ 11-5 от 01.10.2015 г. ООО "Новые фермы"</t>
  </si>
  <si>
    <t>поставка мяса индейки</t>
  </si>
  <si>
    <t>974 0701 9940090300 612</t>
  </si>
  <si>
    <t>Расчет расходов бюджета по аналитическому коду  310</t>
  </si>
  <si>
    <t>974 0701 9990091030 612</t>
  </si>
  <si>
    <t>Кредиторская задолженность дог.№ 737 от 03.09.2014 г. ООО "Диза"</t>
  </si>
  <si>
    <t>Кредиторская задолженность дог.№ 738 от 03.09.2014 г. ООО "Диза"</t>
  </si>
  <si>
    <t>974 0701 9990091040 612</t>
  </si>
  <si>
    <t>Кредиторская задолженность дог.№ 28 от 15.10.2014 г. ООО "Школа-Сервис"</t>
  </si>
  <si>
    <t>Кредиторская задолженность дог.№ 29 от 15.10.2014 г. ООО "Школа-Сервис"</t>
  </si>
  <si>
    <t>Кредиторская задолженность дог.№ 30 от 15.10.2014 г. ООО "Школа-Сервис"</t>
  </si>
  <si>
    <t>обслуживание компьютеров ИП Самвелов Н.С. Дог № 15 от 18.02.2016</t>
  </si>
  <si>
    <t>замена подшипников ООО "Аква-Лайф" дог № 19 о 12.02.2016</t>
  </si>
  <si>
    <t>ремонт интерактивной доски ООО "Лоцман" дог № 135 от 21.01.2016</t>
  </si>
  <si>
    <t>огнезащитная обработка ООО "Чернобылец плюс" дог № 18/Об от 12.02.2016</t>
  </si>
  <si>
    <t>лабораторные исследования воды ФБУЗ "Центр гигиены и эпидемиологии по Пензенко области"</t>
  </si>
  <si>
    <t>дог № 372 от 17.02.2016</t>
  </si>
  <si>
    <t>курсы воспитателей ГАОУ ДПО "Институт регионального развития Пензенской области"</t>
  </si>
  <si>
    <t>дог № 25 от 25.01.2016</t>
  </si>
  <si>
    <t>консультационные услуги 1С ИП Яшин Н.В. Дог № 15-12-731 от 11.01.2016</t>
  </si>
  <si>
    <t>консультационные услуги 1С ИП Яшин Н.В. Дог № 16-03-297 от 11.03.2016</t>
  </si>
  <si>
    <t xml:space="preserve">курсы НОУ ДПО УМЦ Совета Федерации профсоюзов Пензенской области дог № 06 от </t>
  </si>
  <si>
    <t>электронная отчетность ООО "СБиС ЭО" дог № 589055230 от 21.02.2016</t>
  </si>
  <si>
    <t>изготовление бланков ООО "Формат" дог № 617 от 19.02.2016</t>
  </si>
  <si>
    <t xml:space="preserve">перевыпуск ЭЦП ОАО "Оператор электронного правительства" дог № ОЭП/УЦ01325 от </t>
  </si>
  <si>
    <t>станция для бассейна ООО "Аква-Лайф" дог № 14 от 09.02.2016</t>
  </si>
  <si>
    <t>компьютер в сборе ООО "Дата" дог № 14 от 24.02.2016</t>
  </si>
  <si>
    <t>компьютер в сборе ООО "Дата" дог № 16 от 24.02.2016</t>
  </si>
  <si>
    <t>шкафчики для игрушек для корпуса № 2</t>
  </si>
  <si>
    <t>подшипник ООО "Аква-Лайф" дог № 18 от 12.02.2016</t>
  </si>
  <si>
    <t>информационные таблички ИП Шмарина О.В. Дог № 10 т 14.03.2016</t>
  </si>
  <si>
    <t>информационные таблички ИП Шмарина О.В. Дог № 3 т 21.01.2016</t>
  </si>
  <si>
    <t>шары на открытие корпуса № 2 ИП Платонова Н.Г. Дог № 1 от 22.01.2016</t>
  </si>
  <si>
    <t xml:space="preserve">подотчет </t>
  </si>
  <si>
    <t>хозяйственный инвентарь</t>
  </si>
  <si>
    <t>974 0701 9990021150 612</t>
  </si>
  <si>
    <t>Кредиторская задолженность Дог.  521 от 15.10.2014 ООО "Пензенский учколлектор</t>
  </si>
  <si>
    <t xml:space="preserve"> поставка интерактивной доски и мультимедиа-проектора</t>
  </si>
  <si>
    <t>Кредиторская задолженность Дог.  524 от 15.10.2014 ООО "Пензенский учколлектор</t>
  </si>
  <si>
    <t xml:space="preserve"> поставка кроватей детских</t>
  </si>
  <si>
    <t>Кредиторская задолженность Дог. 522 от 15.10.2014 ООО "Пензенский учколлектор</t>
  </si>
  <si>
    <t xml:space="preserve"> поставка посуды</t>
  </si>
  <si>
    <t>Кредиторская задолженность Дог.  523 от 15.10.2014 ООО "Пензенский учколлектор</t>
  </si>
  <si>
    <t>поставка мягкого инвентаря</t>
  </si>
  <si>
    <t>ФБУЗ "Центр гигиены и эпидемиологии в Пенз области" дог № 2181 от 31.12.2013</t>
  </si>
  <si>
    <t>кредиторская задолженность лабораторные исследования песка, воды</t>
  </si>
  <si>
    <t>ЗАО "Пензаторгтехника" дог № 19 от 31.12.2013</t>
  </si>
  <si>
    <t>кредиторская задолженность т/о оборудования в ф.1</t>
  </si>
  <si>
    <t>ЗАО "Пензаторгтехника" дог № 35 от 31.12.2013</t>
  </si>
  <si>
    <t>кредиторская задолженность т/о оборудования в ф.2  и ф.0</t>
  </si>
  <si>
    <t>ООО "Диза" дог № 640 от 24.12.2013</t>
  </si>
  <si>
    <t>кредиторская задолженность за с/о оборудования ф.2</t>
  </si>
  <si>
    <t>ООО "Лифтремонт" дог № 26/2013 от 01.01.2014</t>
  </si>
  <si>
    <t>кредиторская задолженность за обслуживание лифта</t>
  </si>
  <si>
    <t>Кредиторская задолженность дог № 25/р-1 от 23.01.2015 ООО "Чернобылец плюс"</t>
  </si>
  <si>
    <t>т/о средств АПС</t>
  </si>
  <si>
    <t>Кредиторская задолженность дог № 199/р-1 от 23.01.2015 ООО "Чернобылец плюс"</t>
  </si>
  <si>
    <t>Кредиторская задолженность дог № 187 от 24.08.2015 ООО "Чернобылец плюс"</t>
  </si>
  <si>
    <t>ремонт АКБ</t>
  </si>
  <si>
    <t>Кредиторская задолженность дог № 14/АБ от 01.01.2015 ООО "Чернобылец плюс"</t>
  </si>
  <si>
    <t>т/о радиомодема</t>
  </si>
  <si>
    <t>Кредиторская задолженность дог № 006-ТО от 22.01.2015 ООО "Чернобылец плюс"</t>
  </si>
  <si>
    <t>т/о огнетушителей</t>
  </si>
  <si>
    <t>Кредиторская задолженность дог № 005-ВПВ от 05.02.2015 ООО "Чернобылец плюс"</t>
  </si>
  <si>
    <t>проверка работоспособности противопожарного крана</t>
  </si>
  <si>
    <t>Кредиторская задолженность дог № 002-ПР от 05.02.2015 ООО "Чернобылец плюс"</t>
  </si>
  <si>
    <t>перекатка пожарного рукава</t>
  </si>
  <si>
    <t>Кредиторская задолженность дог №002-ИПР от 24.02.2015 ООО "Чернобылец плюс"</t>
  </si>
  <si>
    <t>испытание пожарного рукава</t>
  </si>
  <si>
    <t>Кредиторская задолженность дог № 001-ДВ от 05.02.2015 ООО "Чернобылец плюс"</t>
  </si>
  <si>
    <t>проверка вентиляционных каналов</t>
  </si>
  <si>
    <t>Кредиорская задолженность дог. ПВ-75/2015 от 20.04.2015 ООО "Оттим-Сервис"</t>
  </si>
  <si>
    <t>проверка приборов  учета тепловой энергии</t>
  </si>
  <si>
    <t>Кредиторская задолженность дог.№ 34 от 05.11.2014 г. ООО "Школа-Сервис" посуда</t>
  </si>
  <si>
    <t xml:space="preserve"> поставка материалов (компрессор, фильтр, фреон)</t>
  </si>
  <si>
    <t>ООО "Биотроникс" дог № 112-р от 20.08.2014</t>
  </si>
  <si>
    <t>кредиторская задолженность поставка дезсредств</t>
  </si>
  <si>
    <t>ИП Лоскутов дог № 101 от 01.06.2014</t>
  </si>
  <si>
    <t>кредиторская задолженность поставка строительных материалов</t>
  </si>
  <si>
    <t>ИП Лоскутов дог № 105 от 12.11.2014</t>
  </si>
  <si>
    <t>кредиторская задолженность поставка хозяйственных товаров</t>
  </si>
  <si>
    <t>ООО "Пензенский учколлектор" дог № 559 от 15.10.2014</t>
  </si>
  <si>
    <t>Н.Ю. Трушникова</t>
  </si>
  <si>
    <t>замер сопротивления ИП Вагапов И.Р. Дог №47 от 21.01.2016</t>
  </si>
  <si>
    <t>медикаменты ООО "Аптека для всей семьи" дог № 15 от 25.02.2016 (Приложение № 3)</t>
  </si>
  <si>
    <t>ремонт крыши                                                                                                                          197510</t>
  </si>
  <si>
    <t>974 0701 9990021130 612</t>
  </si>
  <si>
    <t>0355300108414000010 от 26.11.2014г. благоустройство территории</t>
  </si>
  <si>
    <t>Кредиторская задолженность ООО "Стройплюс" договор</t>
  </si>
  <si>
    <t>РАСШИФРОВКА К ПЛАНУ ФИНАНСОВО-ХОЗЯЙСТВЕННОЙ ДЕЯТЕЛЬНОСТИ  НА 30.06.2016 года МБДОУ 120 г. Пензы</t>
  </si>
  <si>
    <t>ООО Чернобылецплюс дог 90-ПС от 25.05.2016</t>
  </si>
  <si>
    <t>видеонаблюдение</t>
  </si>
  <si>
    <t>Доход</t>
  </si>
  <si>
    <t>возмещение коммунальных затрат ООО "Алекс Строй"</t>
  </si>
  <si>
    <t>Расход</t>
  </si>
  <si>
    <t>потребление воды и водоотведение ООО "Горводоканал" дог 2238 от 07.12.2015</t>
  </si>
  <si>
    <t>возмещение коммунальных услуг</t>
  </si>
  <si>
    <t>974 0701 9990021070 612</t>
  </si>
  <si>
    <t>Кредиторская задолженность дог.№1 от 14.09.2015г. ООО"Климат сервис" вент канал.</t>
  </si>
  <si>
    <t>госпошлина</t>
  </si>
  <si>
    <t>обслуживание компьютеров ИП Самвелов Н.С. Дог № 15-2 от 22.08.2016</t>
  </si>
  <si>
    <t>дог № 1722 от 28.06.2016</t>
  </si>
  <si>
    <t>дог № 2381 от 22.09.2016</t>
  </si>
  <si>
    <t>поверка монометров ФБУ "Пензенский ЦСМ"   Дог. 41/1М-655 от 26.04.2016</t>
  </si>
  <si>
    <t>поверка монометров ФБУ "Пензенский ЦСМ"  Дог. 41/1М-655/1 от 14.07.2016</t>
  </si>
  <si>
    <t>ремонт эл. плиты. ООО "Пензаторгтехника" Дог. №76 от 16.05.2016</t>
  </si>
  <si>
    <t>поект. узла учета ХВС ООО Итноп Плюс" Дог 93-20-06 от 20.06.2016</t>
  </si>
  <si>
    <t>промывка системы отопления ООО Итноп Плюс" Дог 93-20-06 от 20.06.2016</t>
  </si>
  <si>
    <t>проверка водопров и пож кранов ООО "Чернобылец плюс" дог № 115-03-08 от 03.09.2016</t>
  </si>
  <si>
    <t>Кредиторская задолженность ООО "Блиц" Дог 26 от 02.11.2015г. Жалюзи</t>
  </si>
  <si>
    <t xml:space="preserve">Кредиторская задолженность ОАО "Пензенский областной учколлектор" </t>
  </si>
  <si>
    <t>Дог. №346,347,348, 349,350,351,352 от 28.09.2015 метод литература, хоз инвентарь</t>
  </si>
  <si>
    <t>Кредиторская задолженность дог. №ТО 44/2015 ООО "Интоп плюс" то приб учета</t>
  </si>
  <si>
    <t>ООО "Лифтремонт" дог № 2/15 от 23.01.2015</t>
  </si>
  <si>
    <t>Кредиторская задолженность дог № 203/ПС от 31.08.2015 ООО "Чернобылец плюс" монтаж АПС</t>
  </si>
  <si>
    <t>Кредиторская задолженность дог № 245/ПС от 31.08.2015 ООО "Чернобылец плюс"  монтаж скуд</t>
  </si>
  <si>
    <t>РАСШИФРОВКА К ПЛАНУ ФИНАНСОВО-ХОЗЯЙСТВЕННОЙ ДЕЯТЕЛЬНОСТИ  НА 30.09. 2016 года МБДОУ 120 г. Пензы</t>
  </si>
  <si>
    <t>РАСШИФРОВКА К ПЛАНУ ФИНАНСОВО-ХОЗЯЙСТВЕННОЙ ДЕЯТЕЛЬНОСТИ  НА 30.09.2016 года МБДОУ 120 г. Пензы</t>
  </si>
  <si>
    <t>РАСШИФРОВКА К ПЛАН7У ФИНАНСОВО-ХОЗЯЙСТВЕННОЙ ДЕЯТЕЛЬНОСТИ  НА 30.09.2016 года МБДОУ 120 г. Пензы</t>
  </si>
  <si>
    <t>ст 290 "Прочие расходы"</t>
  </si>
  <si>
    <t>РАСШИФРОВКА К ПЛАНУ ФИНАНСОВО-ХОЗЯЙСТВЕННОЙ ДЕЯТЕЛЬНОСТИ  НА 30.09.2016 года МБДОУ 120 г. Пензы (свод)</t>
  </si>
  <si>
    <t>Дог. №346 от 28.09.2015 метод литература, хоз инвентарь</t>
  </si>
  <si>
    <t xml:space="preserve">Дог. № 347от 28.09.2015 </t>
  </si>
  <si>
    <t xml:space="preserve">Дог. № 348от 28.09.2015 </t>
  </si>
  <si>
    <t xml:space="preserve">Дог. № 349от 28.09.2015 </t>
  </si>
  <si>
    <t xml:space="preserve">Дог. № 350от 28.09.2015 </t>
  </si>
  <si>
    <t xml:space="preserve">Дог. № 351от 28.09.2015 </t>
  </si>
  <si>
    <t xml:space="preserve">Дог. № 352от 28.09.2015 </t>
  </si>
  <si>
    <t xml:space="preserve">водоотведение  ООО "Горводоканал" дог № 2238 от </t>
  </si>
  <si>
    <t>ООО "Строй+" Дог. № 0155300001415000137-0152372-02 от 19.08.2016 ремонтные работы</t>
  </si>
  <si>
    <t>Услуги связи ПАО «Ростелеком» дог. № 24535 от 27.01.2016</t>
  </si>
  <si>
    <t>АО "Пензтеплоснабжение" дог. № 95/2 от 20.02.2016г. оплата ГВС</t>
  </si>
  <si>
    <t>ООО "ТНС энерго Пенза" дог. № 1021 от 05.02.2016 оплата потребления освещения</t>
  </si>
  <si>
    <t>ООО "ТНС энерго Пенза" дог. № 1021 от 23.01.2015 оплата потребления освещения в декабре 2015</t>
  </si>
  <si>
    <t>МБОУ СОШ №60  дог. №1844/1 от 11.01.2016 возмещение коммунальных затрат школе № 60</t>
  </si>
  <si>
    <t>ХВС ООО "Горводоканал" дог № 2238 от 05.02.2016</t>
  </si>
  <si>
    <t>АО "Пензтеплоснабжение" дог. № 95 от 20.02.2016 оплата отопления и технологических нужд</t>
  </si>
  <si>
    <t>МУП по очистке города дог. №9 от 30.01.2016 оплата отопления и технологических нужд</t>
  </si>
  <si>
    <t>ООО "Чернобылец  плюс" дог. №90/ПС от 25.05.2016 монтаж видеонаблюдения</t>
  </si>
  <si>
    <t xml:space="preserve">ГАОУ ДПО " Институт регионального развития Пензенской области" </t>
  </si>
  <si>
    <t xml:space="preserve">дог. №25 от 25.01.2016 кусы для воспитателей </t>
  </si>
  <si>
    <t>ООО "Школа сервис"  дог. №6 от 27.01.2016 игрушки</t>
  </si>
  <si>
    <t>ИП Кузина Е.А. дог. 16 от 14.04.2016 игрушки</t>
  </si>
  <si>
    <t>приобретение игрушек</t>
  </si>
  <si>
    <t>замена оконных блоков в головном учреждении</t>
  </si>
  <si>
    <t xml:space="preserve">ООО "Блиц" исп.лист ФС № 007107268 от 17.06.2016г. неустойка </t>
  </si>
  <si>
    <t xml:space="preserve">ООО "Климат Сервис" исп.лист ФС № 007106919 от 09.06.2016  проценты </t>
  </si>
  <si>
    <t>ООО "Климат Сервис" исп.лист ФС № 007106919 от 09.06.2016  судебные расходы</t>
  </si>
  <si>
    <t>ОАО «Пензенский областной учколлектор" исп.лист ФС № 011122014 от 04.07.2016.проценты</t>
  </si>
  <si>
    <t>ООО "Чернобылец плюс" исп. Лист ФС № 011122543 от 20.07.2016 г. проценты</t>
  </si>
  <si>
    <t>ООО «Строй+»  исп. лист ФС № 011122674 от 10.08.2016г.  суд.расходы</t>
  </si>
  <si>
    <t>ООО «Строй+» исп.лист ФС № 007105226 от 25.04.2016 неустойка</t>
  </si>
  <si>
    <t>ООО"Школа сервис" исп.лист ФС № 007100848 от 13.01.2016 проценты</t>
  </si>
  <si>
    <t>ООО"Школа сервис" исп.лист ФС № 007100848 от 13.01.2016 госпошлина</t>
  </si>
  <si>
    <t>ООО"Школа сервис" исп.лист ФС № 007100848 от 13.01.2016 услуги предст</t>
  </si>
  <si>
    <t>ООО "Пензенский учколлектор"ФС № 007103503 от 17.03.2016 г представит расходы</t>
  </si>
  <si>
    <t>ООО "Пензенский учколлектор"ФС № 007103503 от 17.03.2016 г гос пошлина</t>
  </si>
  <si>
    <t>ООО "Блиц" исп.лист ФС № 007107268 от 17.06.2016г. госпошлина</t>
  </si>
  <si>
    <t>ООО "Диза" исп.лист ФС№ 007101569 от 19.01.2016г. госпошлина</t>
  </si>
  <si>
    <t>ООО «Интоп плюс»  судебный приказ от 19.07.2016г. по делу №А49-8091/2016   проценты</t>
  </si>
  <si>
    <t>ООО «Интоп плюс» судебный приказ от 19.07.2016г. по делу №А49-8091/2016  госпошлина</t>
  </si>
  <si>
    <t>ОАО «Пензенский областной учколлектор" исп.лист ФС № 011122014 от 04.07.2016.госпошлина</t>
  </si>
  <si>
    <t>ООО "Чернобылец плюс" исп. Лист ФС № 011122543 от 20.07.2016 г. госпошлина</t>
  </si>
  <si>
    <t>ООО "Лифтремонт"ФС № 007105227 от 25.04.2016 г гос пошл</t>
  </si>
  <si>
    <t>ООО УПЦ "Пензаэнергонадзор" дог.№ЛАБ-4 от 19.04.2016 ТО приборов</t>
  </si>
  <si>
    <t>дератизация ИП Володина дог № 264/16/01 от 01.06.2016</t>
  </si>
  <si>
    <t>лаб. Исслед.ФБУЗ "Центр гигиены и эпидемиологии в Пензенской области" дог. 2381 от 22.09.2016</t>
  </si>
  <si>
    <t>огнезащитная обработка ООО "Чернобылец" дог № 18/Об от 12.02.2016</t>
  </si>
  <si>
    <t>ТО вентиляционных кан. ООО "Чернобылец" дог № 005-ДВ от 31.03.2016</t>
  </si>
  <si>
    <t>проверка работоспособности ООО "Чернобылец" дог № 022-ВПВ от 31.03.2016</t>
  </si>
  <si>
    <t>вн водопровода</t>
  </si>
  <si>
    <t>пож крана</t>
  </si>
  <si>
    <t>ТО вентиляционных кан. ООО "Чернобылец" дог № 007-ДВ от 26.04.2016</t>
  </si>
  <si>
    <t>ремонт мясорубки филиал № 2  ООО "Климат" дог № 982 от 21.04.2016</t>
  </si>
  <si>
    <t>Заправка картриджа ИП Власов В.А. дог. № 899 от 15.04.2016</t>
  </si>
  <si>
    <t>испытание пож рукавов ООО "Чернобылец" дог № 002-ИПР от 31.03.2016</t>
  </si>
  <si>
    <t>перекатка пож рукавов ООО "Чернобылец" дог № 001-ПР от 31.03.2016</t>
  </si>
  <si>
    <t>м</t>
  </si>
  <si>
    <t>разработка пректной документации ООО"Интоп плюс" дог. №64-12-05 от 20.06.2016</t>
  </si>
  <si>
    <t>дог. № 57 от 28.03.2016</t>
  </si>
  <si>
    <t>консультационные услуги 1С ИП Яшин Н.В. Дог.№ 16-04-461 от 08.04.2016</t>
  </si>
  <si>
    <t>мед.осмотр ООО "Здоровье" дог.№ 194 от 01.06.2016</t>
  </si>
  <si>
    <t xml:space="preserve">ФБУЗ "Центр гигиены и эпидемиологии в Пензенской области" дог. № 2382 от 12.09.2016 </t>
  </si>
  <si>
    <t>1С сопрровождение ИП Яшин Н.В. дог № 16-04-461 от 08.04.2016</t>
  </si>
  <si>
    <t>сан. исслед ФБУЗ "Центр гигиены и эпидемиологии в Пензенской области"  дог. №2382 от 12.09.16</t>
  </si>
  <si>
    <t>стеллаж ООО "ПТК Лидер" дог. № 33 от 10.03.2016</t>
  </si>
  <si>
    <t>москитные сетки ООО "ПКФ 21 век" дог. № 12 от 23.05.2016</t>
  </si>
  <si>
    <t>хоз. товары ООО "ЧистоМир Сервис" дог.№ 17П-16 от 29.03.2016</t>
  </si>
  <si>
    <t>хоз. товары ООО "ЧистоМир Сервис" дог.№ 38П-16 от 27.06.2016</t>
  </si>
  <si>
    <t>бланки ООО "Формат" дог. № 663 от 29.08.2016</t>
  </si>
  <si>
    <t>информационные таблички ИП Шмарина О.В. Дог № 20 т 08.06.2016</t>
  </si>
  <si>
    <t>ламели тканевые ИП Затеев 26-04/16 от 26.04.16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</si>
</sst>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0000000"/>
    <numFmt numFmtId="182" formatCode="0.000000000"/>
    <numFmt numFmtId="183" formatCode="0.0"/>
    <numFmt numFmtId="184" formatCode="0.000000"/>
    <numFmt numFmtId="185" formatCode="0.000"/>
    <numFmt numFmtId="186" formatCode="0.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60">
    <font>
      <sz val="10"/>
      <name val="Arial CYR"/>
      <family val="0"/>
    </font>
    <font>
      <b/>
      <sz val="10"/>
      <name val="Arial CYR"/>
      <family val="0"/>
    </font>
    <font>
      <sz val="10"/>
      <name val="Times New Roman CE"/>
      <family val="1"/>
    </font>
    <font>
      <b/>
      <sz val="12"/>
      <name val="Arial Cyr"/>
      <family val="2"/>
    </font>
    <font>
      <sz val="10"/>
      <name val="Arial Cyr"/>
      <family val="2"/>
    </font>
    <font>
      <sz val="7"/>
      <name val="Arial Cyr"/>
      <family val="0"/>
    </font>
    <font>
      <sz val="10"/>
      <name val="Times New Roman"/>
      <family val="1"/>
    </font>
    <font>
      <b/>
      <sz val="10"/>
      <name val="Times New Roman CE"/>
      <family val="0"/>
    </font>
    <font>
      <b/>
      <sz val="14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name val="Times New Roman CE"/>
      <family val="1"/>
    </font>
    <font>
      <b/>
      <u val="single"/>
      <sz val="10"/>
      <name val="Times New Roman CE"/>
      <family val="0"/>
    </font>
    <font>
      <b/>
      <sz val="11"/>
      <name val="Times New Roman CE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i/>
      <sz val="10"/>
      <name val="Times New Roman CE"/>
      <family val="0"/>
    </font>
    <font>
      <b/>
      <sz val="12"/>
      <name val="Times New Roman CE"/>
      <family val="0"/>
    </font>
    <font>
      <sz val="11"/>
      <name val="Times New Roman CE"/>
      <family val="0"/>
    </font>
    <font>
      <sz val="8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sz val="10"/>
      <color rgb="FFFF000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33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74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49" fontId="0" fillId="0" borderId="0" xfId="0" applyNumberFormat="1" applyAlignment="1" applyProtection="1">
      <alignment horizontal="right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9" borderId="19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2" fillId="0" borderId="25" xfId="0" applyFont="1" applyBorder="1" applyAlignment="1" applyProtection="1">
      <alignment/>
      <protection locked="0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2" fontId="0" fillId="0" borderId="13" xfId="0" applyNumberFormat="1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0" fontId="0" fillId="0" borderId="29" xfId="0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22" xfId="0" applyFont="1" applyFill="1" applyBorder="1" applyAlignment="1" applyProtection="1">
      <alignment/>
      <protection locked="0"/>
    </xf>
    <xf numFmtId="0" fontId="0" fillId="0" borderId="30" xfId="0" applyFill="1" applyBorder="1" applyAlignment="1" applyProtection="1">
      <alignment/>
      <protection/>
    </xf>
    <xf numFmtId="0" fontId="0" fillId="0" borderId="31" xfId="0" applyFont="1" applyFill="1" applyBorder="1" applyAlignment="1" applyProtection="1">
      <alignment horizontal="left"/>
      <protection locked="0"/>
    </xf>
    <xf numFmtId="0" fontId="0" fillId="0" borderId="28" xfId="0" applyFont="1" applyFill="1" applyBorder="1" applyAlignment="1" applyProtection="1">
      <alignment horizontal="center"/>
      <protection locked="0"/>
    </xf>
    <xf numFmtId="0" fontId="0" fillId="9" borderId="10" xfId="0" applyFont="1" applyFill="1" applyBorder="1" applyAlignment="1" applyProtection="1">
      <alignment horizontal="center"/>
      <protection locked="0"/>
    </xf>
    <xf numFmtId="2" fontId="0" fillId="9" borderId="10" xfId="0" applyNumberFormat="1" applyFont="1" applyFill="1" applyBorder="1" applyAlignment="1" applyProtection="1">
      <alignment horizontal="center"/>
      <protection locked="0"/>
    </xf>
    <xf numFmtId="0" fontId="0" fillId="0" borderId="28" xfId="0" applyFont="1" applyFill="1" applyBorder="1" applyAlignment="1" applyProtection="1">
      <alignment/>
      <protection locked="0"/>
    </xf>
    <xf numFmtId="0" fontId="0" fillId="9" borderId="28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27" xfId="0" applyFont="1" applyFill="1" applyBorder="1" applyAlignment="1" applyProtection="1">
      <alignment/>
      <protection locked="0"/>
    </xf>
    <xf numFmtId="0" fontId="0" fillId="0" borderId="28" xfId="0" applyFont="1" applyFill="1" applyBorder="1" applyAlignment="1" applyProtection="1">
      <alignment/>
      <protection locked="0"/>
    </xf>
    <xf numFmtId="0" fontId="0" fillId="0" borderId="31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9" borderId="10" xfId="0" applyFont="1" applyFill="1" applyBorder="1" applyAlignment="1" applyProtection="1">
      <alignment/>
      <protection locked="0"/>
    </xf>
    <xf numFmtId="0" fontId="0" fillId="0" borderId="31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25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9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18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25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0" borderId="32" xfId="0" applyFill="1" applyBorder="1" applyAlignment="1" applyProtection="1">
      <alignment/>
      <protection locked="0"/>
    </xf>
    <xf numFmtId="49" fontId="5" fillId="0" borderId="0" xfId="0" applyNumberFormat="1" applyFont="1" applyAlignment="1" applyProtection="1">
      <alignment horizontal="right"/>
      <protection locked="0"/>
    </xf>
    <xf numFmtId="0" fontId="0" fillId="0" borderId="17" xfId="0" applyFill="1" applyBorder="1" applyAlignment="1" applyProtection="1">
      <alignment/>
      <protection/>
    </xf>
    <xf numFmtId="0" fontId="0" fillId="9" borderId="10" xfId="0" applyFont="1" applyFill="1" applyBorder="1" applyAlignment="1" applyProtection="1">
      <alignment/>
      <protection locked="0"/>
    </xf>
    <xf numFmtId="0" fontId="0" fillId="0" borderId="33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9" borderId="0" xfId="0" applyFont="1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/>
      <protection locked="0"/>
    </xf>
    <xf numFmtId="10" fontId="0" fillId="0" borderId="10" xfId="0" applyNumberForma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2" fontId="0" fillId="0" borderId="0" xfId="0" applyNumberFormat="1" applyAlignment="1">
      <alignment/>
    </xf>
    <xf numFmtId="49" fontId="0" fillId="0" borderId="0" xfId="0" applyNumberFormat="1" applyFont="1" applyAlignment="1" applyProtection="1">
      <alignment horizontal="right"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/>
      <protection locked="0"/>
    </xf>
    <xf numFmtId="0" fontId="0" fillId="9" borderId="19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 locked="0"/>
    </xf>
    <xf numFmtId="0" fontId="0" fillId="0" borderId="29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2" fontId="0" fillId="0" borderId="35" xfId="0" applyNumberFormat="1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9" borderId="21" xfId="0" applyFon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0" borderId="34" xfId="0" applyFont="1" applyFill="1" applyBorder="1" applyAlignment="1" applyProtection="1">
      <alignment/>
      <protection/>
    </xf>
    <xf numFmtId="0" fontId="0" fillId="9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 locked="0"/>
    </xf>
    <xf numFmtId="0" fontId="0" fillId="0" borderId="26" xfId="0" applyFont="1" applyFill="1" applyBorder="1" applyAlignment="1" applyProtection="1">
      <alignment/>
      <protection/>
    </xf>
    <xf numFmtId="0" fontId="0" fillId="25" borderId="0" xfId="0" applyFont="1" applyFill="1" applyBorder="1" applyAlignment="1" applyProtection="1">
      <alignment/>
      <protection locked="0"/>
    </xf>
    <xf numFmtId="2" fontId="0" fillId="0" borderId="35" xfId="0" applyNumberFormat="1" applyFont="1" applyFill="1" applyBorder="1" applyAlignment="1" applyProtection="1">
      <alignment/>
      <protection/>
    </xf>
    <xf numFmtId="0" fontId="0" fillId="9" borderId="10" xfId="0" applyFont="1" applyFill="1" applyBorder="1" applyAlignment="1" applyProtection="1">
      <alignment horizontal="right"/>
      <protection locked="0"/>
    </xf>
    <xf numFmtId="0" fontId="0" fillId="0" borderId="36" xfId="0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/>
      <protection/>
    </xf>
    <xf numFmtId="0" fontId="0" fillId="2" borderId="31" xfId="0" applyFont="1" applyFill="1" applyBorder="1" applyAlignment="1" applyProtection="1">
      <alignment/>
      <protection locked="0"/>
    </xf>
    <xf numFmtId="0" fontId="0" fillId="2" borderId="10" xfId="0" applyFont="1" applyFill="1" applyBorder="1" applyAlignment="1" applyProtection="1">
      <alignment/>
      <protection locked="0"/>
    </xf>
    <xf numFmtId="0" fontId="0" fillId="2" borderId="10" xfId="0" applyFont="1" applyFill="1" applyBorder="1" applyAlignment="1" applyProtection="1">
      <alignment/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/>
      <protection locked="0"/>
    </xf>
    <xf numFmtId="0" fontId="0" fillId="2" borderId="36" xfId="0" applyFont="1" applyFill="1" applyBorder="1" applyAlignment="1" applyProtection="1">
      <alignment/>
      <protection/>
    </xf>
    <xf numFmtId="0" fontId="0" fillId="0" borderId="37" xfId="0" applyFont="1" applyFill="1" applyBorder="1" applyAlignment="1" applyProtection="1">
      <alignment/>
      <protection locked="0"/>
    </xf>
    <xf numFmtId="185" fontId="0" fillId="9" borderId="28" xfId="0" applyNumberFormat="1" applyFont="1" applyFill="1" applyBorder="1" applyAlignment="1" applyProtection="1">
      <alignment/>
      <protection locked="0"/>
    </xf>
    <xf numFmtId="186" fontId="0" fillId="9" borderId="10" xfId="0" applyNumberFormat="1" applyFont="1" applyFill="1" applyBorder="1" applyAlignment="1" applyProtection="1">
      <alignment/>
      <protection locked="0"/>
    </xf>
    <xf numFmtId="9" fontId="0" fillId="0" borderId="28" xfId="0" applyNumberFormat="1" applyFont="1" applyFill="1" applyBorder="1" applyAlignment="1" applyProtection="1">
      <alignment/>
      <protection locked="0"/>
    </xf>
    <xf numFmtId="0" fontId="0" fillId="0" borderId="30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33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34" xfId="0" applyFont="1" applyFill="1" applyBorder="1" applyAlignment="1" applyProtection="1">
      <alignment/>
      <protection locked="0"/>
    </xf>
    <xf numFmtId="10" fontId="0" fillId="0" borderId="0" xfId="0" applyNumberFormat="1" applyFont="1" applyFill="1" applyBorder="1" applyAlignment="1" applyProtection="1">
      <alignment horizontal="center"/>
      <protection locked="0"/>
    </xf>
    <xf numFmtId="0" fontId="0" fillId="9" borderId="31" xfId="0" applyFont="1" applyFill="1" applyBorder="1" applyAlignment="1" applyProtection="1">
      <alignment/>
      <protection locked="0"/>
    </xf>
    <xf numFmtId="10" fontId="0" fillId="25" borderId="10" xfId="0" applyNumberFormat="1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35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2" fillId="0" borderId="39" xfId="0" applyFont="1" applyBorder="1" applyAlignment="1">
      <alignment horizontal="left"/>
    </xf>
    <xf numFmtId="2" fontId="2" fillId="0" borderId="40" xfId="0" applyNumberFormat="1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/>
      <protection/>
    </xf>
    <xf numFmtId="2" fontId="2" fillId="0" borderId="28" xfId="0" applyNumberFormat="1" applyFont="1" applyBorder="1" applyAlignment="1" applyProtection="1">
      <alignment horizontal="center"/>
      <protection/>
    </xf>
    <xf numFmtId="0" fontId="2" fillId="0" borderId="4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 horizontal="center"/>
      <protection/>
    </xf>
    <xf numFmtId="49" fontId="0" fillId="0" borderId="0" xfId="0" applyNumberFormat="1" applyFill="1" applyAlignment="1" applyProtection="1">
      <alignment horizontal="right"/>
      <protection locked="0"/>
    </xf>
    <xf numFmtId="0" fontId="0" fillId="0" borderId="41" xfId="0" applyFill="1" applyBorder="1" applyAlignment="1" applyProtection="1">
      <alignment/>
      <protection locked="0"/>
    </xf>
    <xf numFmtId="49" fontId="0" fillId="0" borderId="16" xfId="0" applyNumberFormat="1" applyFill="1" applyBorder="1" applyAlignment="1" applyProtection="1">
      <alignment/>
      <protection/>
    </xf>
    <xf numFmtId="49" fontId="0" fillId="0" borderId="24" xfId="0" applyNumberFormat="1" applyFill="1" applyBorder="1" applyAlignment="1" applyProtection="1">
      <alignment/>
      <protection/>
    </xf>
    <xf numFmtId="0" fontId="2" fillId="0" borderId="21" xfId="0" applyFont="1" applyFill="1" applyBorder="1" applyAlignment="1">
      <alignment/>
    </xf>
    <xf numFmtId="0" fontId="0" fillId="0" borderId="42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32" xfId="0" applyBorder="1" applyAlignment="1" applyProtection="1">
      <alignment/>
      <protection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7" fillId="0" borderId="23" xfId="0" applyFont="1" applyBorder="1" applyAlignment="1">
      <alignment/>
    </xf>
    <xf numFmtId="0" fontId="2" fillId="0" borderId="10" xfId="0" applyFont="1" applyBorder="1" applyAlignment="1" applyProtection="1">
      <alignment horizontal="center"/>
      <protection locked="0"/>
    </xf>
    <xf numFmtId="0" fontId="7" fillId="0" borderId="24" xfId="0" applyFont="1" applyBorder="1" applyAlignment="1">
      <alignment/>
    </xf>
    <xf numFmtId="0" fontId="2" fillId="0" borderId="25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/>
    </xf>
    <xf numFmtId="0" fontId="0" fillId="0" borderId="43" xfId="0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26" borderId="19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/>
      <protection/>
    </xf>
    <xf numFmtId="0" fontId="0" fillId="26" borderId="0" xfId="0" applyFill="1" applyBorder="1" applyAlignment="1" applyProtection="1">
      <alignment/>
      <protection locked="0"/>
    </xf>
    <xf numFmtId="0" fontId="0" fillId="26" borderId="16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 horizontal="left"/>
      <protection locked="0"/>
    </xf>
    <xf numFmtId="0" fontId="0" fillId="0" borderId="35" xfId="0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12" fillId="0" borderId="25" xfId="0" applyFont="1" applyBorder="1" applyAlignment="1">
      <alignment/>
    </xf>
    <xf numFmtId="0" fontId="12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0" fontId="2" fillId="0" borderId="40" xfId="0" applyFont="1" applyBorder="1" applyAlignment="1">
      <alignment horizontal="left"/>
    </xf>
    <xf numFmtId="0" fontId="2" fillId="0" borderId="40" xfId="0" applyFont="1" applyBorder="1" applyAlignment="1" applyProtection="1">
      <alignment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/>
    </xf>
    <xf numFmtId="0" fontId="13" fillId="0" borderId="44" xfId="0" applyFont="1" applyBorder="1" applyAlignment="1">
      <alignment/>
    </xf>
    <xf numFmtId="0" fontId="13" fillId="0" borderId="45" xfId="0" applyFont="1" applyBorder="1" applyAlignment="1">
      <alignment/>
    </xf>
    <xf numFmtId="0" fontId="13" fillId="0" borderId="46" xfId="0" applyFont="1" applyBorder="1" applyAlignment="1">
      <alignment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47" xfId="0" applyFont="1" applyFill="1" applyBorder="1" applyAlignment="1" applyProtection="1">
      <alignment/>
      <protection locked="0"/>
    </xf>
    <xf numFmtId="0" fontId="0" fillId="0" borderId="48" xfId="0" applyFont="1" applyFill="1" applyBorder="1" applyAlignment="1" applyProtection="1">
      <alignment/>
      <protection locked="0"/>
    </xf>
    <xf numFmtId="0" fontId="0" fillId="25" borderId="40" xfId="0" applyFont="1" applyFill="1" applyBorder="1" applyAlignment="1" applyProtection="1">
      <alignment/>
      <protection locked="0"/>
    </xf>
    <xf numFmtId="0" fontId="2" fillId="0" borderId="49" xfId="0" applyFont="1" applyBorder="1" applyAlignment="1">
      <alignment horizontal="left"/>
    </xf>
    <xf numFmtId="0" fontId="0" fillId="0" borderId="25" xfId="0" applyFon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/>
    </xf>
    <xf numFmtId="0" fontId="0" fillId="0" borderId="50" xfId="0" applyFill="1" applyBorder="1" applyAlignment="1" applyProtection="1">
      <alignment/>
      <protection locked="0"/>
    </xf>
    <xf numFmtId="0" fontId="0" fillId="0" borderId="33" xfId="0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/>
    </xf>
    <xf numFmtId="0" fontId="11" fillId="0" borderId="50" xfId="0" applyFont="1" applyFill="1" applyBorder="1" applyAlignment="1" applyProtection="1">
      <alignment/>
      <protection locked="0"/>
    </xf>
    <xf numFmtId="0" fontId="9" fillId="0" borderId="33" xfId="0" applyFont="1" applyFill="1" applyBorder="1" applyAlignment="1" applyProtection="1">
      <alignment/>
      <protection locked="0"/>
    </xf>
    <xf numFmtId="0" fontId="9" fillId="0" borderId="43" xfId="0" applyFont="1" applyFill="1" applyBorder="1" applyAlignment="1" applyProtection="1">
      <alignment/>
      <protection locked="0"/>
    </xf>
    <xf numFmtId="0" fontId="7" fillId="25" borderId="21" xfId="0" applyFont="1" applyFill="1" applyBorder="1" applyAlignment="1" applyProtection="1">
      <alignment horizontal="right"/>
      <protection locked="0"/>
    </xf>
    <xf numFmtId="0" fontId="2" fillId="0" borderId="49" xfId="0" applyFont="1" applyBorder="1" applyAlignment="1" applyProtection="1">
      <alignment/>
      <protection/>
    </xf>
    <xf numFmtId="0" fontId="7" fillId="0" borderId="42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2" fontId="0" fillId="0" borderId="36" xfId="0" applyNumberFormat="1" applyFont="1" applyFill="1" applyBorder="1" applyAlignment="1" applyProtection="1">
      <alignment/>
      <protection/>
    </xf>
    <xf numFmtId="0" fontId="16" fillId="0" borderId="29" xfId="0" applyFont="1" applyFill="1" applyBorder="1" applyAlignment="1" applyProtection="1">
      <alignment horizontal="center"/>
      <protection/>
    </xf>
    <xf numFmtId="183" fontId="16" fillId="0" borderId="29" xfId="0" applyNumberFormat="1" applyFont="1" applyFill="1" applyBorder="1" applyAlignment="1" applyProtection="1">
      <alignment horizontal="center"/>
      <protection/>
    </xf>
    <xf numFmtId="4" fontId="15" fillId="25" borderId="53" xfId="0" applyNumberFormat="1" applyFont="1" applyFill="1" applyBorder="1" applyAlignment="1" applyProtection="1">
      <alignment horizontal="center"/>
      <protection/>
    </xf>
    <xf numFmtId="4" fontId="15" fillId="25" borderId="53" xfId="0" applyNumberFormat="1" applyFont="1" applyFill="1" applyBorder="1" applyAlignment="1" applyProtection="1">
      <alignment horizontal="center"/>
      <protection locked="0"/>
    </xf>
    <xf numFmtId="4" fontId="15" fillId="25" borderId="30" xfId="0" applyNumberFormat="1" applyFont="1" applyFill="1" applyBorder="1" applyAlignment="1" applyProtection="1">
      <alignment horizontal="center"/>
      <protection locked="0"/>
    </xf>
    <xf numFmtId="4" fontId="15" fillId="25" borderId="30" xfId="0" applyNumberFormat="1" applyFont="1" applyFill="1" applyBorder="1" applyAlignment="1" applyProtection="1">
      <alignment horizontal="center"/>
      <protection/>
    </xf>
    <xf numFmtId="4" fontId="16" fillId="25" borderId="33" xfId="0" applyNumberFormat="1" applyFont="1" applyFill="1" applyBorder="1" applyAlignment="1" applyProtection="1">
      <alignment horizontal="center"/>
      <protection/>
    </xf>
    <xf numFmtId="0" fontId="0" fillId="9" borderId="16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/>
      <protection/>
    </xf>
    <xf numFmtId="2" fontId="0" fillId="0" borderId="35" xfId="0" applyNumberFormat="1" applyFont="1" applyFill="1" applyBorder="1" applyAlignment="1" applyProtection="1">
      <alignment horizontal="center"/>
      <protection locked="0"/>
    </xf>
    <xf numFmtId="186" fontId="0" fillId="9" borderId="28" xfId="0" applyNumberFormat="1" applyFont="1" applyFill="1" applyBorder="1" applyAlignment="1" applyProtection="1">
      <alignment/>
      <protection locked="0"/>
    </xf>
    <xf numFmtId="185" fontId="16" fillId="25" borderId="50" xfId="0" applyNumberFormat="1" applyFont="1" applyFill="1" applyBorder="1" applyAlignment="1" applyProtection="1">
      <alignment horizontal="center"/>
      <protection/>
    </xf>
    <xf numFmtId="4" fontId="16" fillId="25" borderId="43" xfId="0" applyNumberFormat="1" applyFont="1" applyFill="1" applyBorder="1" applyAlignment="1" applyProtection="1">
      <alignment horizontal="center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2" fontId="0" fillId="25" borderId="40" xfId="0" applyNumberFormat="1" applyFont="1" applyFill="1" applyBorder="1" applyAlignment="1" applyProtection="1">
      <alignment/>
      <protection/>
    </xf>
    <xf numFmtId="2" fontId="0" fillId="0" borderId="40" xfId="0" applyNumberFormat="1" applyFont="1" applyFill="1" applyBorder="1" applyAlignment="1" applyProtection="1">
      <alignment/>
      <protection/>
    </xf>
    <xf numFmtId="0" fontId="0" fillId="25" borderId="40" xfId="0" applyFont="1" applyFill="1" applyBorder="1" applyAlignment="1" applyProtection="1">
      <alignment/>
      <protection/>
    </xf>
    <xf numFmtId="0" fontId="0" fillId="0" borderId="40" xfId="0" applyFont="1" applyFill="1" applyBorder="1" applyAlignment="1" applyProtection="1">
      <alignment/>
      <protection/>
    </xf>
    <xf numFmtId="0" fontId="0" fillId="0" borderId="40" xfId="0" applyFont="1" applyFill="1" applyBorder="1" applyAlignment="1" applyProtection="1">
      <alignment/>
      <protection locked="0"/>
    </xf>
    <xf numFmtId="2" fontId="0" fillId="25" borderId="40" xfId="0" applyNumberFormat="1" applyFont="1" applyFill="1" applyBorder="1" applyAlignment="1" applyProtection="1">
      <alignment/>
      <protection locked="0"/>
    </xf>
    <xf numFmtId="0" fontId="0" fillId="25" borderId="40" xfId="0" applyFont="1" applyFill="1" applyBorder="1" applyAlignment="1" applyProtection="1">
      <alignment/>
      <protection locked="0"/>
    </xf>
    <xf numFmtId="0" fontId="0" fillId="0" borderId="40" xfId="0" applyFont="1" applyFill="1" applyBorder="1" applyAlignment="1" applyProtection="1">
      <alignment/>
      <protection locked="0"/>
    </xf>
    <xf numFmtId="0" fontId="1" fillId="0" borderId="40" xfId="0" applyFont="1" applyFill="1" applyBorder="1" applyAlignment="1" applyProtection="1">
      <alignment/>
      <protection/>
    </xf>
    <xf numFmtId="0" fontId="1" fillId="25" borderId="40" xfId="0" applyFont="1" applyFill="1" applyBorder="1" applyAlignment="1" applyProtection="1">
      <alignment/>
      <protection locked="0"/>
    </xf>
    <xf numFmtId="0" fontId="1" fillId="0" borderId="40" xfId="0" applyFont="1" applyFill="1" applyBorder="1" applyAlignment="1" applyProtection="1">
      <alignment/>
      <protection locked="0"/>
    </xf>
    <xf numFmtId="0" fontId="0" fillId="0" borderId="30" xfId="0" applyFill="1" applyBorder="1" applyAlignment="1" applyProtection="1">
      <alignment horizontal="left"/>
      <protection/>
    </xf>
    <xf numFmtId="0" fontId="0" fillId="9" borderId="13" xfId="0" applyFill="1" applyBorder="1" applyAlignment="1" applyProtection="1">
      <alignment/>
      <protection locked="0"/>
    </xf>
    <xf numFmtId="1" fontId="0" fillId="0" borderId="21" xfId="0" applyNumberFormat="1" applyFill="1" applyBorder="1" applyAlignment="1" applyProtection="1">
      <alignment/>
      <protection/>
    </xf>
    <xf numFmtId="1" fontId="0" fillId="0" borderId="34" xfId="0" applyNumberFormat="1" applyFill="1" applyBorder="1" applyAlignment="1" applyProtection="1">
      <alignment/>
      <protection/>
    </xf>
    <xf numFmtId="0" fontId="0" fillId="25" borderId="19" xfId="0" applyFill="1" applyBorder="1" applyAlignment="1" applyProtection="1">
      <alignment horizontal="center"/>
      <protection locked="0"/>
    </xf>
    <xf numFmtId="0" fontId="2" fillId="25" borderId="34" xfId="0" applyFont="1" applyFill="1" applyBorder="1" applyAlignment="1">
      <alignment horizontal="center"/>
    </xf>
    <xf numFmtId="4" fontId="0" fillId="25" borderId="50" xfId="0" applyNumberFormat="1" applyFont="1" applyFill="1" applyBorder="1" applyAlignment="1" applyProtection="1">
      <alignment/>
      <protection locked="0"/>
    </xf>
    <xf numFmtId="2" fontId="7" fillId="25" borderId="54" xfId="0" applyNumberFormat="1" applyFont="1" applyFill="1" applyBorder="1" applyAlignment="1" applyProtection="1">
      <alignment/>
      <protection/>
    </xf>
    <xf numFmtId="4" fontId="17" fillId="25" borderId="53" xfId="0" applyNumberFormat="1" applyFont="1" applyFill="1" applyBorder="1" applyAlignment="1">
      <alignment horizontal="center"/>
    </xf>
    <xf numFmtId="0" fontId="0" fillId="0" borderId="45" xfId="0" applyFill="1" applyBorder="1" applyAlignment="1" applyProtection="1">
      <alignment/>
      <protection locked="0"/>
    </xf>
    <xf numFmtId="0" fontId="0" fillId="0" borderId="45" xfId="0" applyFill="1" applyBorder="1" applyAlignment="1" applyProtection="1">
      <alignment horizontal="center"/>
      <protection locked="0"/>
    </xf>
    <xf numFmtId="0" fontId="0" fillId="0" borderId="46" xfId="0" applyFill="1" applyBorder="1" applyAlignment="1" applyProtection="1">
      <alignment/>
      <protection/>
    </xf>
    <xf numFmtId="0" fontId="0" fillId="0" borderId="46" xfId="0" applyFill="1" applyBorder="1" applyAlignment="1" applyProtection="1">
      <alignment/>
      <protection locked="0"/>
    </xf>
    <xf numFmtId="10" fontId="0" fillId="0" borderId="44" xfId="0" applyNumberFormat="1" applyFill="1" applyBorder="1" applyAlignment="1" applyProtection="1">
      <alignment/>
      <protection locked="0"/>
    </xf>
    <xf numFmtId="0" fontId="7" fillId="0" borderId="22" xfId="0" applyFont="1" applyBorder="1" applyAlignment="1">
      <alignment/>
    </xf>
    <xf numFmtId="4" fontId="17" fillId="25" borderId="53" xfId="0" applyNumberFormat="1" applyFont="1" applyFill="1" applyBorder="1" applyAlignment="1" applyProtection="1">
      <alignment horizontal="center"/>
      <protection/>
    </xf>
    <xf numFmtId="0" fontId="2" fillId="0" borderId="16" xfId="0" applyFont="1" applyBorder="1" applyAlignment="1">
      <alignment/>
    </xf>
    <xf numFmtId="2" fontId="7" fillId="0" borderId="16" xfId="0" applyNumberFormat="1" applyFont="1" applyBorder="1" applyAlignment="1">
      <alignment horizontal="center"/>
    </xf>
    <xf numFmtId="0" fontId="7" fillId="0" borderId="48" xfId="0" applyFont="1" applyBorder="1" applyAlignment="1" applyProtection="1">
      <alignment/>
      <protection/>
    </xf>
    <xf numFmtId="2" fontId="7" fillId="25" borderId="55" xfId="0" applyNumberFormat="1" applyFont="1" applyFill="1" applyBorder="1" applyAlignment="1" applyProtection="1">
      <alignment/>
      <protection/>
    </xf>
    <xf numFmtId="0" fontId="2" fillId="0" borderId="32" xfId="0" applyFont="1" applyBorder="1" applyAlignment="1">
      <alignment/>
    </xf>
    <xf numFmtId="0" fontId="2" fillId="0" borderId="56" xfId="0" applyFont="1" applyBorder="1" applyAlignment="1">
      <alignment/>
    </xf>
    <xf numFmtId="0" fontId="7" fillId="0" borderId="56" xfId="0" applyFont="1" applyBorder="1" applyAlignment="1" applyProtection="1">
      <alignment/>
      <protection/>
    </xf>
    <xf numFmtId="0" fontId="2" fillId="0" borderId="42" xfId="0" applyFont="1" applyBorder="1" applyAlignment="1">
      <alignment horizontal="center"/>
    </xf>
    <xf numFmtId="0" fontId="2" fillId="0" borderId="57" xfId="0" applyFont="1" applyBorder="1" applyAlignment="1">
      <alignment/>
    </xf>
    <xf numFmtId="0" fontId="7" fillId="0" borderId="52" xfId="0" applyFont="1" applyBorder="1" applyAlignment="1">
      <alignment/>
    </xf>
    <xf numFmtId="0" fontId="2" fillId="0" borderId="58" xfId="0" applyFont="1" applyBorder="1" applyAlignment="1" applyProtection="1">
      <alignment/>
      <protection locked="0"/>
    </xf>
    <xf numFmtId="0" fontId="2" fillId="0" borderId="58" xfId="0" applyFont="1" applyBorder="1" applyAlignment="1" applyProtection="1">
      <alignment horizontal="center"/>
      <protection locked="0"/>
    </xf>
    <xf numFmtId="0" fontId="2" fillId="0" borderId="59" xfId="0" applyFont="1" applyBorder="1" applyAlignment="1" applyProtection="1">
      <alignment/>
      <protection/>
    </xf>
    <xf numFmtId="0" fontId="2" fillId="0" borderId="53" xfId="0" applyFont="1" applyBorder="1" applyAlignment="1" applyProtection="1">
      <alignment/>
      <protection/>
    </xf>
    <xf numFmtId="2" fontId="6" fillId="25" borderId="53" xfId="0" applyNumberFormat="1" applyFont="1" applyFill="1" applyBorder="1" applyAlignment="1">
      <alignment/>
    </xf>
    <xf numFmtId="0" fontId="2" fillId="0" borderId="52" xfId="0" applyFont="1" applyBorder="1" applyAlignment="1">
      <alignment/>
    </xf>
    <xf numFmtId="0" fontId="7" fillId="0" borderId="21" xfId="0" applyFont="1" applyFill="1" applyBorder="1" applyAlignment="1" applyProtection="1">
      <alignment horizontal="right"/>
      <protection locked="0"/>
    </xf>
    <xf numFmtId="4" fontId="2" fillId="0" borderId="32" xfId="0" applyNumberFormat="1" applyFont="1" applyBorder="1" applyAlignment="1">
      <alignment/>
    </xf>
    <xf numFmtId="0" fontId="7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4" fontId="17" fillId="25" borderId="30" xfId="0" applyNumberFormat="1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/>
      <protection locked="0"/>
    </xf>
    <xf numFmtId="0" fontId="2" fillId="0" borderId="19" xfId="0" applyFont="1" applyFill="1" applyBorder="1" applyAlignment="1" applyProtection="1">
      <alignment/>
      <protection locked="0"/>
    </xf>
    <xf numFmtId="0" fontId="2" fillId="0" borderId="19" xfId="0" applyFont="1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/>
      <protection locked="0"/>
    </xf>
    <xf numFmtId="0" fontId="2" fillId="0" borderId="19" xfId="0" applyFont="1" applyFill="1" applyBorder="1" applyAlignment="1" applyProtection="1">
      <alignment horizontal="center"/>
      <protection/>
    </xf>
    <xf numFmtId="2" fontId="2" fillId="0" borderId="42" xfId="0" applyNumberFormat="1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2" fontId="2" fillId="0" borderId="51" xfId="0" applyNumberFormat="1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 horizontal="center"/>
      <protection/>
    </xf>
    <xf numFmtId="2" fontId="2" fillId="0" borderId="52" xfId="0" applyNumberFormat="1" applyFont="1" applyFill="1" applyBorder="1" applyAlignment="1" applyProtection="1">
      <alignment/>
      <protection locked="0"/>
    </xf>
    <xf numFmtId="49" fontId="2" fillId="0" borderId="0" xfId="0" applyNumberFormat="1" applyFont="1" applyAlignment="1" applyProtection="1">
      <alignment horizontal="right"/>
      <protection locked="0"/>
    </xf>
    <xf numFmtId="4" fontId="17" fillId="25" borderId="30" xfId="0" applyNumberFormat="1" applyFont="1" applyFill="1" applyBorder="1" applyAlignment="1" applyProtection="1">
      <alignment horizontal="center"/>
      <protection/>
    </xf>
    <xf numFmtId="0" fontId="19" fillId="2" borderId="19" xfId="0" applyFont="1" applyFill="1" applyBorder="1" applyAlignment="1" applyProtection="1">
      <alignment/>
      <protection locked="0"/>
    </xf>
    <xf numFmtId="0" fontId="19" fillId="2" borderId="19" xfId="0" applyFont="1" applyFill="1" applyBorder="1" applyAlignment="1" applyProtection="1">
      <alignment/>
      <protection/>
    </xf>
    <xf numFmtId="0" fontId="19" fillId="0" borderId="19" xfId="0" applyFont="1" applyFill="1" applyBorder="1" applyAlignment="1" applyProtection="1">
      <alignment/>
      <protection/>
    </xf>
    <xf numFmtId="0" fontId="19" fillId="0" borderId="31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/>
      <protection locked="0"/>
    </xf>
    <xf numFmtId="0" fontId="19" fillId="2" borderId="10" xfId="0" applyFont="1" applyFill="1" applyBorder="1" applyAlignment="1" applyProtection="1">
      <alignment/>
      <protection locked="0"/>
    </xf>
    <xf numFmtId="0" fontId="19" fillId="2" borderId="10" xfId="0" applyFont="1" applyFill="1" applyBorder="1" applyAlignment="1" applyProtection="1">
      <alignment/>
      <protection locked="0"/>
    </xf>
    <xf numFmtId="0" fontId="19" fillId="2" borderId="10" xfId="0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/>
      <protection/>
    </xf>
    <xf numFmtId="2" fontId="19" fillId="0" borderId="10" xfId="0" applyNumberFormat="1" applyFont="1" applyFill="1" applyBorder="1" applyAlignment="1" applyProtection="1">
      <alignment/>
      <protection/>
    </xf>
    <xf numFmtId="2" fontId="19" fillId="0" borderId="60" xfId="0" applyNumberFormat="1" applyFont="1" applyFill="1" applyBorder="1" applyAlignment="1" applyProtection="1">
      <alignment/>
      <protection/>
    </xf>
    <xf numFmtId="0" fontId="19" fillId="0" borderId="11" xfId="0" applyFont="1" applyBorder="1" applyAlignment="1">
      <alignment horizontal="left"/>
    </xf>
    <xf numFmtId="0" fontId="19" fillId="0" borderId="10" xfId="0" applyFont="1" applyFill="1" applyBorder="1" applyAlignment="1" applyProtection="1">
      <alignment horizontal="left"/>
      <protection locked="0"/>
    </xf>
    <xf numFmtId="0" fontId="19" fillId="2" borderId="10" xfId="0" applyFont="1" applyFill="1" applyBorder="1" applyAlignment="1" applyProtection="1">
      <alignment horizontal="center"/>
      <protection locked="0"/>
    </xf>
    <xf numFmtId="2" fontId="19" fillId="0" borderId="10" xfId="0" applyNumberFormat="1" applyFont="1" applyFill="1" applyBorder="1" applyAlignment="1" applyProtection="1">
      <alignment horizontal="left"/>
      <protection/>
    </xf>
    <xf numFmtId="2" fontId="19" fillId="0" borderId="60" xfId="0" applyNumberFormat="1" applyFont="1" applyFill="1" applyBorder="1" applyAlignment="1" applyProtection="1">
      <alignment horizontal="left"/>
      <protection/>
    </xf>
    <xf numFmtId="0" fontId="19" fillId="0" borderId="31" xfId="0" applyFont="1" applyBorder="1" applyAlignment="1">
      <alignment/>
    </xf>
    <xf numFmtId="0" fontId="19" fillId="0" borderId="31" xfId="0" applyFont="1" applyFill="1" applyBorder="1" applyAlignment="1" applyProtection="1">
      <alignment horizontal="left"/>
      <protection locked="0"/>
    </xf>
    <xf numFmtId="0" fontId="19" fillId="0" borderId="31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10" fontId="0" fillId="0" borderId="0" xfId="0" applyNumberForma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25" borderId="0" xfId="0" applyFont="1" applyFill="1" applyBorder="1" applyAlignment="1" applyProtection="1">
      <alignment horizontal="center"/>
      <protection locked="0"/>
    </xf>
    <xf numFmtId="183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/>
      <protection locked="0"/>
    </xf>
    <xf numFmtId="0" fontId="0" fillId="0" borderId="34" xfId="0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0" fillId="25" borderId="34" xfId="0" applyFont="1" applyFill="1" applyBorder="1" applyAlignment="1" applyProtection="1">
      <alignment/>
      <protection locked="0"/>
    </xf>
    <xf numFmtId="0" fontId="0" fillId="25" borderId="35" xfId="0" applyFont="1" applyFill="1" applyBorder="1" applyAlignment="1" applyProtection="1">
      <alignment/>
      <protection locked="0"/>
    </xf>
    <xf numFmtId="10" fontId="0" fillId="0" borderId="21" xfId="0" applyNumberFormat="1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1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61" xfId="0" applyFont="1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14" fontId="0" fillId="0" borderId="31" xfId="0" applyNumberFormat="1" applyFill="1" applyBorder="1" applyAlignment="1" applyProtection="1">
      <alignment horizontal="left"/>
      <protection locked="0"/>
    </xf>
    <xf numFmtId="14" fontId="0" fillId="0" borderId="27" xfId="0" applyNumberFormat="1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 horizontal="center"/>
      <protection locked="0"/>
    </xf>
    <xf numFmtId="10" fontId="0" fillId="0" borderId="28" xfId="0" applyNumberFormat="1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/>
    </xf>
    <xf numFmtId="0" fontId="0" fillId="0" borderId="62" xfId="0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7" fillId="0" borderId="16" xfId="0" applyFont="1" applyBorder="1" applyAlignment="1" applyProtection="1">
      <alignment horizontal="left"/>
      <protection locked="0"/>
    </xf>
    <xf numFmtId="0" fontId="0" fillId="0" borderId="31" xfId="0" applyFill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 horizontal="center"/>
      <protection/>
    </xf>
    <xf numFmtId="4" fontId="0" fillId="0" borderId="61" xfId="0" applyNumberFormat="1" applyFont="1" applyFill="1" applyBorder="1" applyAlignment="1" applyProtection="1">
      <alignment horizontal="center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4" fontId="0" fillId="0" borderId="26" xfId="0" applyNumberFormat="1" applyFont="1" applyFill="1" applyBorder="1" applyAlignment="1" applyProtection="1">
      <alignment horizontal="center"/>
      <protection/>
    </xf>
    <xf numFmtId="10" fontId="0" fillId="0" borderId="25" xfId="0" applyNumberFormat="1" applyFont="1" applyFill="1" applyBorder="1" applyAlignment="1" applyProtection="1">
      <alignment horizontal="center"/>
      <protection locked="0"/>
    </xf>
    <xf numFmtId="0" fontId="0" fillId="0" borderId="25" xfId="0" applyFont="1" applyFill="1" applyBorder="1" applyAlignment="1" applyProtection="1">
      <alignment/>
      <protection/>
    </xf>
    <xf numFmtId="10" fontId="0" fillId="0" borderId="28" xfId="0" applyNumberFormat="1" applyFont="1" applyFill="1" applyBorder="1" applyAlignment="1" applyProtection="1">
      <alignment horizontal="center"/>
      <protection locked="0"/>
    </xf>
    <xf numFmtId="0" fontId="0" fillId="0" borderId="28" xfId="0" applyFont="1" applyFill="1" applyBorder="1" applyAlignment="1" applyProtection="1">
      <alignment/>
      <protection/>
    </xf>
    <xf numFmtId="4" fontId="0" fillId="0" borderId="25" xfId="0" applyNumberFormat="1" applyFont="1" applyFill="1" applyBorder="1" applyAlignment="1" applyProtection="1">
      <alignment horizontal="right"/>
      <protection/>
    </xf>
    <xf numFmtId="4" fontId="0" fillId="0" borderId="47" xfId="0" applyNumberFormat="1" applyFon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 horizontal="right"/>
      <protection/>
    </xf>
    <xf numFmtId="4" fontId="0" fillId="0" borderId="26" xfId="0" applyNumberFormat="1" applyFont="1" applyFill="1" applyBorder="1" applyAlignment="1" applyProtection="1">
      <alignment horizontal="right"/>
      <protection/>
    </xf>
    <xf numFmtId="4" fontId="0" fillId="0" borderId="28" xfId="0" applyNumberFormat="1" applyFont="1" applyFill="1" applyBorder="1" applyAlignment="1" applyProtection="1">
      <alignment horizontal="right"/>
      <protection/>
    </xf>
    <xf numFmtId="4" fontId="0" fillId="0" borderId="36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Fill="1" applyBorder="1" applyAlignment="1" applyProtection="1">
      <alignment horizontal="right"/>
      <protection/>
    </xf>
    <xf numFmtId="4" fontId="0" fillId="0" borderId="61" xfId="0" applyNumberFormat="1" applyFont="1" applyFill="1" applyBorder="1" applyAlignment="1" applyProtection="1">
      <alignment horizontal="right"/>
      <protection/>
    </xf>
    <xf numFmtId="4" fontId="0" fillId="0" borderId="60" xfId="0" applyNumberFormat="1" applyFont="1" applyFill="1" applyBorder="1" applyAlignment="1" applyProtection="1">
      <alignment horizontal="right"/>
      <protection/>
    </xf>
    <xf numFmtId="0" fontId="0" fillId="0" borderId="25" xfId="0" applyFill="1" applyBorder="1" applyAlignment="1" applyProtection="1">
      <alignment/>
      <protection locked="0"/>
    </xf>
    <xf numFmtId="0" fontId="0" fillId="0" borderId="37" xfId="0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 horizontal="right"/>
      <protection locked="0"/>
    </xf>
    <xf numFmtId="0" fontId="0" fillId="0" borderId="60" xfId="0" applyFont="1" applyFill="1" applyBorder="1" applyAlignment="1" applyProtection="1">
      <alignment horizontal="right"/>
      <protection locked="0"/>
    </xf>
    <xf numFmtId="0" fontId="0" fillId="0" borderId="37" xfId="0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/>
      <protection locked="0"/>
    </xf>
    <xf numFmtId="4" fontId="0" fillId="0" borderId="63" xfId="0" applyNumberFormat="1" applyFont="1" applyFill="1" applyBorder="1" applyAlignment="1" applyProtection="1">
      <alignment horizontal="right"/>
      <protection/>
    </xf>
    <xf numFmtId="0" fontId="0" fillId="0" borderId="30" xfId="0" applyFont="1" applyFill="1" applyBorder="1" applyAlignment="1" applyProtection="1">
      <alignment/>
      <protection locked="0"/>
    </xf>
    <xf numFmtId="0" fontId="0" fillId="0" borderId="41" xfId="0" applyFont="1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 horizontal="center"/>
      <protection locked="0"/>
    </xf>
    <xf numFmtId="10" fontId="0" fillId="0" borderId="25" xfId="0" applyNumberFormat="1" applyFill="1" applyBorder="1" applyAlignment="1" applyProtection="1">
      <alignment/>
      <protection locked="0"/>
    </xf>
    <xf numFmtId="0" fontId="0" fillId="0" borderId="32" xfId="0" applyFont="1" applyFill="1" applyBorder="1" applyAlignment="1" applyProtection="1">
      <alignment/>
      <protection locked="0"/>
    </xf>
    <xf numFmtId="0" fontId="0" fillId="25" borderId="10" xfId="0" applyFont="1" applyFill="1" applyBorder="1" applyAlignment="1" applyProtection="1">
      <alignment/>
      <protection locked="0"/>
    </xf>
    <xf numFmtId="2" fontId="19" fillId="0" borderId="10" xfId="0" applyNumberFormat="1" applyFont="1" applyFill="1" applyBorder="1" applyAlignment="1" applyProtection="1">
      <alignment horizontal="center"/>
      <protection/>
    </xf>
    <xf numFmtId="2" fontId="19" fillId="0" borderId="60" xfId="0" applyNumberFormat="1" applyFont="1" applyFill="1" applyBorder="1" applyAlignment="1" applyProtection="1">
      <alignment horizontal="center"/>
      <protection/>
    </xf>
    <xf numFmtId="2" fontId="1" fillId="0" borderId="30" xfId="0" applyNumberFormat="1" applyFont="1" applyBorder="1" applyAlignment="1" applyProtection="1">
      <alignment horizontal="right"/>
      <protection/>
    </xf>
    <xf numFmtId="0" fontId="0" fillId="0" borderId="49" xfId="0" applyFill="1" applyBorder="1" applyAlignment="1" applyProtection="1">
      <alignment/>
      <protection locked="0"/>
    </xf>
    <xf numFmtId="0" fontId="0" fillId="0" borderId="58" xfId="0" applyFill="1" applyBorder="1" applyAlignment="1" applyProtection="1">
      <alignment/>
      <protection/>
    </xf>
    <xf numFmtId="0" fontId="0" fillId="0" borderId="55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47" xfId="0" applyFill="1" applyBorder="1" applyAlignment="1" applyProtection="1">
      <alignment/>
      <protection locked="0"/>
    </xf>
    <xf numFmtId="0" fontId="0" fillId="0" borderId="64" xfId="0" applyFill="1" applyBorder="1" applyAlignment="1" applyProtection="1">
      <alignment/>
      <protection/>
    </xf>
    <xf numFmtId="0" fontId="0" fillId="0" borderId="65" xfId="0" applyFill="1" applyBorder="1" applyAlignment="1" applyProtection="1">
      <alignment/>
      <protection locked="0"/>
    </xf>
    <xf numFmtId="0" fontId="0" fillId="0" borderId="66" xfId="0" applyFill="1" applyBorder="1" applyAlignment="1" applyProtection="1">
      <alignment/>
      <protection/>
    </xf>
    <xf numFmtId="0" fontId="0" fillId="0" borderId="67" xfId="0" applyFill="1" applyBorder="1" applyAlignment="1" applyProtection="1">
      <alignment/>
      <protection locked="0"/>
    </xf>
    <xf numFmtId="0" fontId="0" fillId="0" borderId="64" xfId="0" applyBorder="1" applyAlignment="1">
      <alignment/>
    </xf>
    <xf numFmtId="0" fontId="0" fillId="0" borderId="66" xfId="0" applyBorder="1" applyAlignment="1">
      <alignment/>
    </xf>
    <xf numFmtId="0" fontId="2" fillId="0" borderId="25" xfId="0" applyFont="1" applyBorder="1" applyAlignment="1">
      <alignment/>
    </xf>
    <xf numFmtId="0" fontId="0" fillId="0" borderId="25" xfId="0" applyBorder="1" applyAlignment="1">
      <alignment/>
    </xf>
    <xf numFmtId="0" fontId="20" fillId="0" borderId="0" xfId="0" applyFont="1" applyAlignment="1">
      <alignment/>
    </xf>
    <xf numFmtId="2" fontId="2" fillId="0" borderId="57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0" fillId="27" borderId="19" xfId="0" applyFont="1" applyFill="1" applyBorder="1" applyAlignment="1" applyProtection="1">
      <alignment/>
      <protection locked="0"/>
    </xf>
    <xf numFmtId="0" fontId="0" fillId="27" borderId="10" xfId="0" applyFont="1" applyFill="1" applyBorder="1" applyAlignment="1" applyProtection="1">
      <alignment/>
      <protection locked="0"/>
    </xf>
    <xf numFmtId="10" fontId="0" fillId="27" borderId="21" xfId="0" applyNumberFormat="1" applyFont="1" applyFill="1" applyBorder="1" applyAlignment="1" applyProtection="1">
      <alignment/>
      <protection locked="0"/>
    </xf>
    <xf numFmtId="0" fontId="0" fillId="27" borderId="21" xfId="0" applyFont="1" applyFill="1" applyBorder="1" applyAlignment="1" applyProtection="1">
      <alignment/>
      <protection locked="0"/>
    </xf>
    <xf numFmtId="10" fontId="0" fillId="27" borderId="0" xfId="0" applyNumberFormat="1" applyFont="1" applyFill="1" applyBorder="1" applyAlignment="1" applyProtection="1">
      <alignment horizontal="center"/>
      <protection locked="0"/>
    </xf>
    <xf numFmtId="0" fontId="0" fillId="27" borderId="0" xfId="0" applyFont="1" applyFill="1" applyBorder="1" applyAlignment="1" applyProtection="1">
      <alignment horizontal="center"/>
      <protection locked="0"/>
    </xf>
    <xf numFmtId="0" fontId="0" fillId="27" borderId="0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2" fontId="0" fillId="0" borderId="63" xfId="0" applyNumberFormat="1" applyFont="1" applyFill="1" applyBorder="1" applyAlignment="1" applyProtection="1">
      <alignment horizontal="right"/>
      <protection locked="0"/>
    </xf>
    <xf numFmtId="2" fontId="0" fillId="0" borderId="60" xfId="0" applyNumberFormat="1" applyFont="1" applyFill="1" applyBorder="1" applyAlignment="1" applyProtection="1">
      <alignment horizontal="right"/>
      <protection locked="0"/>
    </xf>
    <xf numFmtId="4" fontId="0" fillId="0" borderId="23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25" xfId="0" applyFont="1" applyBorder="1" applyAlignment="1">
      <alignment/>
    </xf>
    <xf numFmtId="0" fontId="0" fillId="0" borderId="0" xfId="0" applyFont="1" applyAlignment="1">
      <alignment/>
    </xf>
    <xf numFmtId="4" fontId="15" fillId="25" borderId="22" xfId="0" applyNumberFormat="1" applyFont="1" applyFill="1" applyBorder="1" applyAlignment="1" applyProtection="1">
      <alignment horizontal="center"/>
      <protection/>
    </xf>
    <xf numFmtId="0" fontId="21" fillId="0" borderId="18" xfId="0" applyFont="1" applyFill="1" applyBorder="1" applyAlignment="1" applyProtection="1">
      <alignment/>
      <protection locked="0"/>
    </xf>
    <xf numFmtId="0" fontId="21" fillId="0" borderId="11" xfId="0" applyFont="1" applyFill="1" applyBorder="1" applyAlignment="1" applyProtection="1">
      <alignment/>
      <protection locked="0"/>
    </xf>
    <xf numFmtId="10" fontId="0" fillId="27" borderId="25" xfId="0" applyNumberFormat="1" applyFont="1" applyFill="1" applyBorder="1" applyAlignment="1" applyProtection="1">
      <alignment/>
      <protection locked="0"/>
    </xf>
    <xf numFmtId="0" fontId="0" fillId="27" borderId="25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0" fillId="27" borderId="10" xfId="0" applyFont="1" applyFill="1" applyBorder="1" applyAlignment="1" applyProtection="1">
      <alignment/>
      <protection locked="0"/>
    </xf>
    <xf numFmtId="4" fontId="0" fillId="0" borderId="0" xfId="0" applyNumberFormat="1" applyAlignment="1">
      <alignment/>
    </xf>
    <xf numFmtId="0" fontId="0" fillId="0" borderId="31" xfId="0" applyFont="1" applyBorder="1" applyAlignment="1" applyProtection="1">
      <alignment/>
      <protection locked="0"/>
    </xf>
    <xf numFmtId="4" fontId="2" fillId="0" borderId="0" xfId="0" applyNumberFormat="1" applyFont="1" applyAlignment="1">
      <alignment/>
    </xf>
    <xf numFmtId="4" fontId="0" fillId="0" borderId="19" xfId="0" applyNumberFormat="1" applyFont="1" applyFill="1" applyBorder="1" applyAlignment="1" applyProtection="1">
      <alignment horizontal="center"/>
      <protection/>
    </xf>
    <xf numFmtId="4" fontId="0" fillId="0" borderId="38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/>
    </xf>
    <xf numFmtId="0" fontId="0" fillId="27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2" fontId="0" fillId="0" borderId="23" xfId="0" applyNumberFormat="1" applyFont="1" applyFill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 locked="0"/>
    </xf>
    <xf numFmtId="0" fontId="0" fillId="0" borderId="29" xfId="0" applyFill="1" applyBorder="1" applyAlignment="1" applyProtection="1">
      <alignment/>
      <protection locked="0"/>
    </xf>
    <xf numFmtId="0" fontId="0" fillId="25" borderId="0" xfId="0" applyFill="1" applyBorder="1" applyAlignment="1" applyProtection="1">
      <alignment horizontal="left"/>
      <protection locked="0"/>
    </xf>
    <xf numFmtId="4" fontId="0" fillId="0" borderId="35" xfId="0" applyNumberFormat="1" applyFont="1" applyFill="1" applyBorder="1" applyAlignment="1" applyProtection="1">
      <alignment horizontal="right"/>
      <protection locked="0"/>
    </xf>
    <xf numFmtId="0" fontId="0" fillId="25" borderId="10" xfId="0" applyFont="1" applyFill="1" applyBorder="1" applyAlignment="1" applyProtection="1">
      <alignment horizontal="center"/>
      <protection/>
    </xf>
    <xf numFmtId="0" fontId="0" fillId="25" borderId="10" xfId="0" applyFont="1" applyFill="1" applyBorder="1" applyAlignment="1" applyProtection="1">
      <alignment horizontal="center"/>
      <protection locked="0"/>
    </xf>
    <xf numFmtId="0" fontId="0" fillId="25" borderId="25" xfId="0" applyFont="1" applyFill="1" applyBorder="1" applyAlignment="1" applyProtection="1">
      <alignment horizontal="center"/>
      <protection locked="0"/>
    </xf>
    <xf numFmtId="0" fontId="0" fillId="25" borderId="10" xfId="0" applyFont="1" applyFill="1" applyBorder="1" applyAlignment="1" applyProtection="1">
      <alignment/>
      <protection locked="0"/>
    </xf>
    <xf numFmtId="0" fontId="0" fillId="27" borderId="10" xfId="0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>
      <alignment/>
    </xf>
    <xf numFmtId="0" fontId="2" fillId="25" borderId="61" xfId="0" applyFont="1" applyFill="1" applyBorder="1" applyAlignment="1">
      <alignment horizontal="center"/>
    </xf>
    <xf numFmtId="0" fontId="6" fillId="0" borderId="35" xfId="0" applyFont="1" applyFill="1" applyBorder="1" applyAlignment="1" applyProtection="1">
      <alignment horizontal="center"/>
      <protection/>
    </xf>
    <xf numFmtId="0" fontId="0" fillId="27" borderId="25" xfId="0" applyFont="1" applyFill="1" applyBorder="1" applyAlignment="1" applyProtection="1">
      <alignment horizontal="center"/>
      <protection locked="0"/>
    </xf>
    <xf numFmtId="0" fontId="0" fillId="27" borderId="25" xfId="0" applyFont="1" applyFill="1" applyBorder="1" applyAlignment="1" applyProtection="1">
      <alignment/>
      <protection locked="0"/>
    </xf>
    <xf numFmtId="0" fontId="21" fillId="0" borderId="25" xfId="0" applyFont="1" applyFill="1" applyBorder="1" applyAlignment="1" applyProtection="1">
      <alignment/>
      <protection locked="0"/>
    </xf>
    <xf numFmtId="10" fontId="0" fillId="27" borderId="25" xfId="0" applyNumberFormat="1" applyFont="1" applyFill="1" applyBorder="1" applyAlignment="1" applyProtection="1">
      <alignment horizontal="center"/>
      <protection locked="0"/>
    </xf>
    <xf numFmtId="10" fontId="0" fillId="27" borderId="10" xfId="0" applyNumberFormat="1" applyFont="1" applyFill="1" applyBorder="1" applyAlignment="1" applyProtection="1">
      <alignment horizontal="center"/>
      <protection locked="0"/>
    </xf>
    <xf numFmtId="0" fontId="0" fillId="0" borderId="37" xfId="0" applyFont="1" applyBorder="1" applyAlignment="1">
      <alignment/>
    </xf>
    <xf numFmtId="0" fontId="0" fillId="0" borderId="31" xfId="0" applyFont="1" applyBorder="1" applyAlignment="1">
      <alignment/>
    </xf>
    <xf numFmtId="4" fontId="0" fillId="0" borderId="40" xfId="0" applyNumberFormat="1" applyFont="1" applyFill="1" applyBorder="1" applyAlignment="1" applyProtection="1">
      <alignment horizontal="right"/>
      <protection/>
    </xf>
    <xf numFmtId="4" fontId="0" fillId="0" borderId="66" xfId="0" applyNumberFormat="1" applyFont="1" applyFill="1" applyBorder="1" applyAlignment="1" applyProtection="1">
      <alignment horizontal="right"/>
      <protection/>
    </xf>
    <xf numFmtId="4" fontId="58" fillId="0" borderId="40" xfId="0" applyNumberFormat="1" applyFont="1" applyBorder="1" applyAlignment="1">
      <alignment horizontal="right" vertical="center" wrapText="1"/>
    </xf>
    <xf numFmtId="0" fontId="59" fillId="0" borderId="0" xfId="0" applyFont="1" applyAlignment="1" applyProtection="1">
      <alignment/>
      <protection locked="0"/>
    </xf>
    <xf numFmtId="0" fontId="59" fillId="0" borderId="25" xfId="0" applyFont="1" applyFill="1" applyBorder="1" applyAlignment="1" applyProtection="1">
      <alignment/>
      <protection locked="0"/>
    </xf>
    <xf numFmtId="0" fontId="59" fillId="0" borderId="25" xfId="0" applyFont="1" applyFill="1" applyBorder="1" applyAlignment="1" applyProtection="1">
      <alignment/>
      <protection/>
    </xf>
    <xf numFmtId="0" fontId="59" fillId="0" borderId="29" xfId="0" applyFont="1" applyFill="1" applyBorder="1" applyAlignment="1" applyProtection="1">
      <alignment/>
      <protection locked="0"/>
    </xf>
    <xf numFmtId="0" fontId="59" fillId="0" borderId="0" xfId="0" applyFont="1" applyAlignment="1">
      <alignment/>
    </xf>
    <xf numFmtId="10" fontId="21" fillId="27" borderId="21" xfId="0" applyNumberFormat="1" applyFont="1" applyFill="1" applyBorder="1" applyAlignment="1" applyProtection="1">
      <alignment/>
      <protection locked="0"/>
    </xf>
    <xf numFmtId="0" fontId="21" fillId="27" borderId="21" xfId="0" applyFont="1" applyFill="1" applyBorder="1" applyAlignment="1" applyProtection="1">
      <alignment/>
      <protection locked="0"/>
    </xf>
    <xf numFmtId="0" fontId="21" fillId="27" borderId="21" xfId="0" applyFont="1" applyFill="1" applyBorder="1" applyAlignment="1" applyProtection="1">
      <alignment/>
      <protection locked="0"/>
    </xf>
    <xf numFmtId="0" fontId="21" fillId="0" borderId="21" xfId="0" applyFont="1" applyFill="1" applyBorder="1" applyAlignment="1" applyProtection="1">
      <alignment/>
      <protection locked="0"/>
    </xf>
    <xf numFmtId="0" fontId="21" fillId="0" borderId="21" xfId="0" applyFont="1" applyFill="1" applyBorder="1" applyAlignment="1" applyProtection="1">
      <alignment/>
      <protection/>
    </xf>
    <xf numFmtId="4" fontId="59" fillId="0" borderId="25" xfId="0" applyNumberFormat="1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right"/>
      <protection locked="0"/>
    </xf>
    <xf numFmtId="0" fontId="0" fillId="0" borderId="11" xfId="0" applyFont="1" applyBorder="1" applyAlignment="1">
      <alignment/>
    </xf>
    <xf numFmtId="4" fontId="59" fillId="0" borderId="0" xfId="0" applyNumberFormat="1" applyFont="1" applyAlignment="1">
      <alignment/>
    </xf>
    <xf numFmtId="170" fontId="0" fillId="0" borderId="31" xfId="45" applyFont="1" applyFill="1" applyBorder="1" applyAlignment="1" applyProtection="1">
      <alignment/>
      <protection locked="0"/>
    </xf>
    <xf numFmtId="0" fontId="0" fillId="25" borderId="10" xfId="45" applyNumberFormat="1" applyFont="1" applyFill="1" applyBorder="1" applyAlignment="1" applyProtection="1">
      <alignment horizontal="center" vertical="top"/>
      <protection locked="0"/>
    </xf>
    <xf numFmtId="170" fontId="0" fillId="0" borderId="10" xfId="45" applyFont="1" applyFill="1" applyBorder="1" applyAlignment="1" applyProtection="1">
      <alignment/>
      <protection locked="0"/>
    </xf>
    <xf numFmtId="0" fontId="0" fillId="25" borderId="10" xfId="45" applyNumberFormat="1" applyFont="1" applyFill="1" applyBorder="1" applyAlignment="1" applyProtection="1">
      <alignment horizontal="center"/>
      <protection locked="0"/>
    </xf>
    <xf numFmtId="170" fontId="0" fillId="0" borderId="40" xfId="45" applyFont="1" applyFill="1" applyBorder="1" applyAlignment="1" applyProtection="1">
      <alignment/>
      <protection locked="0"/>
    </xf>
    <xf numFmtId="2" fontId="0" fillId="25" borderId="40" xfId="45" applyNumberFormat="1" applyFont="1" applyFill="1" applyBorder="1" applyAlignment="1" applyProtection="1">
      <alignment/>
      <protection locked="0"/>
    </xf>
    <xf numFmtId="0" fontId="0" fillId="28" borderId="10" xfId="0" applyFont="1" applyFill="1" applyBorder="1" applyAlignment="1" applyProtection="1">
      <alignment horizontal="center"/>
      <protection locked="0"/>
    </xf>
    <xf numFmtId="0" fontId="0" fillId="28" borderId="10" xfId="0" applyFont="1" applyFill="1" applyBorder="1" applyAlignment="1" applyProtection="1">
      <alignment/>
      <protection locked="0"/>
    </xf>
    <xf numFmtId="2" fontId="0" fillId="25" borderId="10" xfId="0" applyNumberFormat="1" applyFont="1" applyFill="1" applyBorder="1" applyAlignment="1" applyProtection="1">
      <alignment horizontal="center"/>
      <protection locked="0"/>
    </xf>
    <xf numFmtId="0" fontId="0" fillId="28" borderId="13" xfId="0" applyFont="1" applyFill="1" applyBorder="1" applyAlignment="1" applyProtection="1">
      <alignment horizontal="center"/>
      <protection locked="0"/>
    </xf>
    <xf numFmtId="0" fontId="21" fillId="0" borderId="20" xfId="0" applyFont="1" applyFill="1" applyBorder="1" applyAlignment="1" applyProtection="1">
      <alignment/>
      <protection locked="0"/>
    </xf>
    <xf numFmtId="0" fontId="21" fillId="0" borderId="21" xfId="0" applyFont="1" applyFill="1" applyBorder="1" applyAlignment="1" applyProtection="1">
      <alignment/>
      <protection locked="0"/>
    </xf>
    <xf numFmtId="0" fontId="0" fillId="27" borderId="26" xfId="0" applyFill="1" applyBorder="1" applyAlignment="1" applyProtection="1">
      <alignment/>
      <protection locked="0"/>
    </xf>
    <xf numFmtId="0" fontId="0" fillId="27" borderId="36" xfId="0" applyFill="1" applyBorder="1" applyAlignment="1" applyProtection="1">
      <alignment/>
      <protection locked="0"/>
    </xf>
    <xf numFmtId="0" fontId="0" fillId="27" borderId="36" xfId="0" applyFill="1" applyBorder="1" applyAlignment="1" applyProtection="1">
      <alignment/>
      <protection/>
    </xf>
    <xf numFmtId="0" fontId="0" fillId="27" borderId="35" xfId="0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/>
    </xf>
    <xf numFmtId="0" fontId="0" fillId="25" borderId="25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  <xf numFmtId="0" fontId="1" fillId="0" borderId="25" xfId="0" applyFont="1" applyFill="1" applyBorder="1" applyAlignment="1" applyProtection="1">
      <alignment horizontal="left"/>
      <protection locked="0"/>
    </xf>
    <xf numFmtId="0" fontId="1" fillId="0" borderId="63" xfId="0" applyFont="1" applyFill="1" applyBorder="1" applyAlignment="1" applyProtection="1">
      <alignment horizontal="left"/>
      <protection locked="0"/>
    </xf>
    <xf numFmtId="0" fontId="0" fillId="0" borderId="49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0" fillId="25" borderId="10" xfId="0" applyFont="1" applyFill="1" applyBorder="1" applyAlignment="1" applyProtection="1">
      <alignment horizontal="center"/>
      <protection locked="0"/>
    </xf>
    <xf numFmtId="2" fontId="0" fillId="0" borderId="10" xfId="0" applyNumberFormat="1" applyFont="1" applyFill="1" applyBorder="1" applyAlignment="1" applyProtection="1">
      <alignment horizontal="center"/>
      <protection/>
    </xf>
    <xf numFmtId="2" fontId="0" fillId="0" borderId="26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9" borderId="19" xfId="0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/>
    </xf>
    <xf numFmtId="2" fontId="0" fillId="0" borderId="68" xfId="0" applyNumberFormat="1" applyFont="1" applyFill="1" applyBorder="1" applyAlignment="1" applyProtection="1">
      <alignment horizontal="center"/>
      <protection/>
    </xf>
    <xf numFmtId="10" fontId="0" fillId="9" borderId="19" xfId="0" applyNumberFormat="1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left"/>
      <protection locked="0"/>
    </xf>
    <xf numFmtId="0" fontId="0" fillId="0" borderId="19" xfId="0" applyFont="1" applyFill="1" applyBorder="1" applyAlignment="1" applyProtection="1">
      <alignment horizontal="left"/>
      <protection locked="0"/>
    </xf>
    <xf numFmtId="0" fontId="0" fillId="0" borderId="25" xfId="0" applyFont="1" applyFill="1" applyBorder="1" applyAlignment="1" applyProtection="1">
      <alignment horizontal="center"/>
      <protection locked="0"/>
    </xf>
    <xf numFmtId="0" fontId="0" fillId="25" borderId="25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9" borderId="10" xfId="0" applyFont="1" applyFill="1" applyBorder="1" applyAlignment="1" applyProtection="1">
      <alignment horizontal="right"/>
      <protection locked="0"/>
    </xf>
    <xf numFmtId="0" fontId="0" fillId="0" borderId="31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9" borderId="28" xfId="0" applyFont="1" applyFill="1" applyBorder="1" applyAlignment="1" applyProtection="1">
      <alignment horizontal="right"/>
      <protection locked="0"/>
    </xf>
    <xf numFmtId="0" fontId="0" fillId="0" borderId="26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27" xfId="0" applyFont="1" applyFill="1" applyBorder="1" applyAlignment="1" applyProtection="1">
      <alignment horizontal="left"/>
      <protection locked="0"/>
    </xf>
    <xf numFmtId="0" fontId="0" fillId="0" borderId="28" xfId="0" applyFont="1" applyFill="1" applyBorder="1" applyAlignment="1" applyProtection="1">
      <alignment horizontal="left"/>
      <protection locked="0"/>
    </xf>
    <xf numFmtId="0" fontId="0" fillId="0" borderId="36" xfId="0" applyFont="1" applyFill="1" applyBorder="1" applyAlignment="1" applyProtection="1">
      <alignment horizontal="left"/>
      <protection locked="0"/>
    </xf>
    <xf numFmtId="0" fontId="0" fillId="25" borderId="10" xfId="0" applyFont="1" applyFill="1" applyBorder="1" applyAlignment="1" applyProtection="1">
      <alignment/>
      <protection locked="0"/>
    </xf>
    <xf numFmtId="0" fontId="0" fillId="0" borderId="28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25" borderId="10" xfId="0" applyFont="1" applyFill="1" applyBorder="1" applyAlignment="1" applyProtection="1">
      <alignment horizontal="center"/>
      <protection/>
    </xf>
    <xf numFmtId="0" fontId="0" fillId="28" borderId="10" xfId="0" applyFont="1" applyFill="1" applyBorder="1" applyAlignment="1" applyProtection="1">
      <alignment horizontal="center"/>
      <protection locked="0"/>
    </xf>
    <xf numFmtId="0" fontId="0" fillId="25" borderId="25" xfId="0" applyFont="1" applyFill="1" applyBorder="1" applyAlignment="1" applyProtection="1">
      <alignment horizontal="center"/>
      <protection/>
    </xf>
    <xf numFmtId="1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25" xfId="0" applyFont="1" applyBorder="1" applyAlignment="1" applyProtection="1">
      <alignment horizontal="left"/>
      <protection locked="0"/>
    </xf>
    <xf numFmtId="171" fontId="0" fillId="25" borderId="10" xfId="45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center"/>
      <protection locked="0"/>
    </xf>
    <xf numFmtId="18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6" fillId="0" borderId="12" xfId="0" applyFont="1" applyFill="1" applyBorder="1" applyAlignment="1" applyProtection="1">
      <alignment horizontal="left"/>
      <protection locked="0"/>
    </xf>
    <xf numFmtId="0" fontId="6" fillId="0" borderId="13" xfId="0" applyFont="1" applyFill="1" applyBorder="1" applyAlignment="1" applyProtection="1">
      <alignment horizontal="left"/>
      <protection locked="0"/>
    </xf>
    <xf numFmtId="0" fontId="0" fillId="25" borderId="19" xfId="0" applyFill="1" applyBorder="1" applyAlignment="1" applyProtection="1">
      <alignment horizontal="left"/>
      <protection locked="0"/>
    </xf>
    <xf numFmtId="10" fontId="0" fillId="25" borderId="21" xfId="0" applyNumberFormat="1" applyFill="1" applyBorder="1" applyAlignment="1" applyProtection="1">
      <alignment horizontal="center"/>
      <protection locked="0"/>
    </xf>
    <xf numFmtId="1" fontId="0" fillId="25" borderId="21" xfId="0" applyNumberFormat="1" applyFill="1" applyBorder="1" applyAlignment="1" applyProtection="1">
      <alignment horizontal="center"/>
      <protection/>
    </xf>
    <xf numFmtId="2" fontId="0" fillId="25" borderId="19" xfId="0" applyNumberFormat="1" applyFill="1" applyBorder="1" applyAlignment="1" applyProtection="1">
      <alignment horizontal="center"/>
      <protection/>
    </xf>
    <xf numFmtId="2" fontId="0" fillId="25" borderId="68" xfId="0" applyNumberFormat="1" applyFill="1" applyBorder="1" applyAlignment="1" applyProtection="1">
      <alignment horizontal="center"/>
      <protection/>
    </xf>
    <xf numFmtId="0" fontId="0" fillId="25" borderId="13" xfId="0" applyFill="1" applyBorder="1" applyAlignment="1" applyProtection="1">
      <alignment horizontal="left"/>
      <protection locked="0"/>
    </xf>
    <xf numFmtId="2" fontId="0" fillId="25" borderId="13" xfId="0" applyNumberFormat="1" applyFill="1" applyBorder="1" applyAlignment="1" applyProtection="1">
      <alignment horizontal="center"/>
      <protection/>
    </xf>
    <xf numFmtId="2" fontId="0" fillId="25" borderId="35" xfId="0" applyNumberForma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49" fontId="0" fillId="0" borderId="0" xfId="0" applyNumberFormat="1" applyFill="1" applyAlignment="1" applyProtection="1">
      <alignment horizontal="right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2" fillId="0" borderId="3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2" fontId="2" fillId="25" borderId="49" xfId="0" applyNumberFormat="1" applyFont="1" applyFill="1" applyBorder="1" applyAlignment="1" applyProtection="1">
      <alignment horizontal="center"/>
      <protection/>
    </xf>
    <xf numFmtId="2" fontId="2" fillId="25" borderId="10" xfId="0" applyNumberFormat="1" applyFont="1" applyFill="1" applyBorder="1" applyAlignment="1" applyProtection="1">
      <alignment horizontal="center"/>
      <protection/>
    </xf>
    <xf numFmtId="2" fontId="2" fillId="25" borderId="26" xfId="0" applyNumberFormat="1" applyFont="1" applyFill="1" applyBorder="1" applyAlignment="1" applyProtection="1">
      <alignment horizontal="center"/>
      <protection/>
    </xf>
    <xf numFmtId="0" fontId="2" fillId="0" borderId="39" xfId="0" applyFont="1" applyBorder="1" applyAlignment="1">
      <alignment horizontal="center" wrapText="1"/>
    </xf>
    <xf numFmtId="0" fontId="2" fillId="0" borderId="49" xfId="0" applyFon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 applyProtection="1">
      <alignment horizontal="center"/>
      <protection locked="0"/>
    </xf>
    <xf numFmtId="2" fontId="2" fillId="0" borderId="40" xfId="0" applyNumberFormat="1" applyFont="1" applyBorder="1" applyAlignment="1" applyProtection="1">
      <alignment horizontal="center"/>
      <protection/>
    </xf>
    <xf numFmtId="2" fontId="2" fillId="0" borderId="49" xfId="0" applyNumberFormat="1" applyFont="1" applyBorder="1" applyAlignment="1" applyProtection="1">
      <alignment horizontal="center"/>
      <protection/>
    </xf>
    <xf numFmtId="2" fontId="2" fillId="0" borderId="26" xfId="0" applyNumberFormat="1" applyFont="1" applyBorder="1" applyAlignment="1" applyProtection="1">
      <alignment horizontal="center"/>
      <protection/>
    </xf>
    <xf numFmtId="0" fontId="2" fillId="0" borderId="49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2" fontId="2" fillId="0" borderId="40" xfId="0" applyNumberFormat="1" applyFont="1" applyBorder="1" applyAlignment="1" applyProtection="1">
      <alignment horizontal="center"/>
      <protection/>
    </xf>
    <xf numFmtId="2" fontId="2" fillId="0" borderId="49" xfId="0" applyNumberFormat="1" applyFont="1" applyBorder="1" applyAlignment="1" applyProtection="1">
      <alignment horizontal="center"/>
      <protection/>
    </xf>
    <xf numFmtId="2" fontId="2" fillId="0" borderId="10" xfId="0" applyNumberFormat="1" applyFont="1" applyBorder="1" applyAlignment="1" applyProtection="1">
      <alignment horizontal="center"/>
      <protection/>
    </xf>
    <xf numFmtId="2" fontId="2" fillId="25" borderId="59" xfId="0" applyNumberFormat="1" applyFont="1" applyFill="1" applyBorder="1" applyAlignment="1" applyProtection="1">
      <alignment horizontal="center"/>
      <protection/>
    </xf>
    <xf numFmtId="2" fontId="2" fillId="25" borderId="28" xfId="0" applyNumberFormat="1" applyFont="1" applyFill="1" applyBorder="1" applyAlignment="1" applyProtection="1">
      <alignment horizontal="center"/>
      <protection/>
    </xf>
    <xf numFmtId="2" fontId="2" fillId="25" borderId="36" xfId="0" applyNumberFormat="1" applyFont="1" applyFill="1" applyBorder="1" applyAlignment="1" applyProtection="1">
      <alignment horizontal="center"/>
      <protection/>
    </xf>
    <xf numFmtId="2" fontId="0" fillId="25" borderId="44" xfId="0" applyNumberFormat="1" applyFill="1" applyBorder="1" applyAlignment="1" applyProtection="1">
      <alignment horizontal="center"/>
      <protection/>
    </xf>
    <xf numFmtId="0" fontId="0" fillId="25" borderId="45" xfId="0" applyFill="1" applyBorder="1" applyAlignment="1" applyProtection="1">
      <alignment horizontal="center"/>
      <protection/>
    </xf>
    <xf numFmtId="0" fontId="0" fillId="25" borderId="46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 locked="0"/>
    </xf>
    <xf numFmtId="0" fontId="0" fillId="0" borderId="20" xfId="0" applyFill="1" applyBorder="1" applyAlignment="1" applyProtection="1">
      <alignment horizontal="left"/>
      <protection locked="0"/>
    </xf>
    <xf numFmtId="0" fontId="0" fillId="0" borderId="21" xfId="0" applyFill="1" applyBorder="1" applyAlignment="1" applyProtection="1">
      <alignment horizontal="left"/>
      <protection locked="0"/>
    </xf>
    <xf numFmtId="0" fontId="0" fillId="0" borderId="31" xfId="0" applyFill="1" applyBorder="1" applyAlignment="1" applyProtection="1">
      <alignment horizontal="left"/>
      <protection locked="0"/>
    </xf>
    <xf numFmtId="0" fontId="0" fillId="25" borderId="21" xfId="0" applyFill="1" applyBorder="1" applyAlignment="1" applyProtection="1">
      <alignment horizontal="center"/>
      <protection locked="0"/>
    </xf>
    <xf numFmtId="0" fontId="0" fillId="25" borderId="69" xfId="0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2" fillId="25" borderId="21" xfId="0" applyFont="1" applyFill="1" applyBorder="1" applyAlignment="1">
      <alignment horizontal="center"/>
    </xf>
    <xf numFmtId="0" fontId="2" fillId="25" borderId="69" xfId="0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2" fontId="2" fillId="0" borderId="10" xfId="0" applyNumberFormat="1" applyFont="1" applyBorder="1" applyAlignment="1" applyProtection="1">
      <alignment horizontal="right"/>
      <protection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2" fontId="6" fillId="0" borderId="13" xfId="0" applyNumberFormat="1" applyFont="1" applyFill="1" applyBorder="1" applyAlignment="1" applyProtection="1">
      <alignment horizontal="right"/>
      <protection/>
    </xf>
    <xf numFmtId="0" fontId="6" fillId="0" borderId="13" xfId="0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25" borderId="10" xfId="0" applyFont="1" applyFill="1" applyBorder="1" applyAlignment="1">
      <alignment horizontal="center"/>
    </xf>
    <xf numFmtId="0" fontId="2" fillId="25" borderId="60" xfId="0" applyFont="1" applyFill="1" applyBorder="1" applyAlignment="1">
      <alignment horizontal="center"/>
    </xf>
    <xf numFmtId="0" fontId="2" fillId="0" borderId="31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0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25" borderId="13" xfId="0" applyFont="1" applyFill="1" applyBorder="1" applyAlignment="1">
      <alignment horizontal="center"/>
    </xf>
    <xf numFmtId="0" fontId="7" fillId="25" borderId="38" xfId="0" applyFont="1" applyFill="1" applyBorder="1" applyAlignment="1">
      <alignment horizontal="center"/>
    </xf>
    <xf numFmtId="0" fontId="2" fillId="0" borderId="0" xfId="0" applyFont="1" applyBorder="1" applyAlignment="1" applyProtection="1">
      <alignment horizontal="left"/>
      <protection locked="0"/>
    </xf>
    <xf numFmtId="4" fontId="0" fillId="0" borderId="19" xfId="0" applyNumberFormat="1" applyFont="1" applyFill="1" applyBorder="1" applyAlignment="1" applyProtection="1">
      <alignment horizontal="center"/>
      <protection/>
    </xf>
    <xf numFmtId="4" fontId="0" fillId="0" borderId="68" xfId="0" applyNumberFormat="1" applyFont="1" applyFill="1" applyBorder="1" applyAlignment="1" applyProtection="1">
      <alignment horizontal="center"/>
      <protection/>
    </xf>
    <xf numFmtId="4" fontId="0" fillId="0" borderId="21" xfId="0" applyNumberFormat="1" applyFont="1" applyFill="1" applyBorder="1" applyAlignment="1" applyProtection="1">
      <alignment horizontal="right"/>
      <protection/>
    </xf>
    <xf numFmtId="4" fontId="0" fillId="0" borderId="34" xfId="0" applyNumberFormat="1" applyFont="1" applyFill="1" applyBorder="1" applyAlignment="1" applyProtection="1">
      <alignment horizontal="right"/>
      <protection/>
    </xf>
    <xf numFmtId="4" fontId="0" fillId="0" borderId="28" xfId="0" applyNumberFormat="1" applyFont="1" applyFill="1" applyBorder="1" applyAlignment="1" applyProtection="1">
      <alignment horizontal="right"/>
      <protection/>
    </xf>
    <xf numFmtId="4" fontId="0" fillId="0" borderId="36" xfId="0" applyNumberFormat="1" applyFon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 horizontal="right"/>
      <protection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center"/>
      <protection/>
    </xf>
    <xf numFmtId="4" fontId="0" fillId="0" borderId="23" xfId="0" applyNumberFormat="1" applyFont="1" applyFill="1" applyBorder="1" applyAlignment="1" applyProtection="1">
      <alignment horizontal="center"/>
      <protection/>
    </xf>
    <xf numFmtId="4" fontId="0" fillId="0" borderId="21" xfId="0" applyNumberFormat="1" applyFont="1" applyFill="1" applyBorder="1" applyAlignment="1" applyProtection="1">
      <alignment horizontal="center"/>
      <protection/>
    </xf>
    <xf numFmtId="4" fontId="0" fillId="0" borderId="44" xfId="0" applyNumberFormat="1" applyFont="1" applyFill="1" applyBorder="1" applyAlignment="1" applyProtection="1">
      <alignment horizontal="right"/>
      <protection locked="0"/>
    </xf>
    <xf numFmtId="4" fontId="0" fillId="0" borderId="46" xfId="0" applyNumberFormat="1" applyFont="1" applyFill="1" applyBorder="1" applyAlignment="1" applyProtection="1">
      <alignment horizontal="right"/>
      <protection locked="0"/>
    </xf>
    <xf numFmtId="4" fontId="0" fillId="0" borderId="38" xfId="0" applyNumberFormat="1" applyFont="1" applyFill="1" applyBorder="1" applyAlignment="1" applyProtection="1">
      <alignment horizontal="center"/>
      <protection locked="0"/>
    </xf>
    <xf numFmtId="4" fontId="0" fillId="0" borderId="69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right"/>
      <protection/>
    </xf>
    <xf numFmtId="2" fontId="0" fillId="0" borderId="60" xfId="0" applyNumberFormat="1" applyFont="1" applyFill="1" applyBorder="1" applyAlignment="1" applyProtection="1">
      <alignment horizontal="right"/>
      <protection/>
    </xf>
    <xf numFmtId="4" fontId="0" fillId="0" borderId="34" xfId="0" applyNumberFormat="1" applyFont="1" applyFill="1" applyBorder="1" applyAlignment="1" applyProtection="1">
      <alignment horizontal="center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4" fontId="0" fillId="0" borderId="26" xfId="0" applyNumberFormat="1" applyFont="1" applyFill="1" applyBorder="1" applyAlignment="1" applyProtection="1">
      <alignment horizontal="center"/>
      <protection/>
    </xf>
    <xf numFmtId="4" fontId="0" fillId="0" borderId="0" xfId="0" applyNumberFormat="1" applyFont="1" applyFill="1" applyBorder="1" applyAlignment="1" applyProtection="1">
      <alignment horizontal="right"/>
      <protection/>
    </xf>
    <xf numFmtId="4" fontId="0" fillId="0" borderId="61" xfId="0" applyNumberFormat="1" applyFont="1" applyFill="1" applyBorder="1" applyAlignment="1" applyProtection="1">
      <alignment horizontal="right"/>
      <protection/>
    </xf>
    <xf numFmtId="4" fontId="0" fillId="0" borderId="25" xfId="0" applyNumberFormat="1" applyFont="1" applyFill="1" applyBorder="1" applyAlignment="1" applyProtection="1">
      <alignment horizontal="right"/>
      <protection/>
    </xf>
    <xf numFmtId="4" fontId="0" fillId="0" borderId="47" xfId="0" applyNumberFormat="1" applyFont="1" applyFill="1" applyBorder="1" applyAlignment="1" applyProtection="1">
      <alignment horizontal="right"/>
      <protection/>
    </xf>
    <xf numFmtId="0" fontId="0" fillId="27" borderId="10" xfId="0" applyFont="1" applyFill="1" applyBorder="1" applyAlignment="1" applyProtection="1">
      <alignment horizontal="center"/>
      <protection locked="0"/>
    </xf>
    <xf numFmtId="2" fontId="0" fillId="0" borderId="47" xfId="0" applyNumberFormat="1" applyFont="1" applyFill="1" applyBorder="1" applyAlignment="1" applyProtection="1">
      <alignment horizontal="right"/>
      <protection/>
    </xf>
    <xf numFmtId="4" fontId="0" fillId="0" borderId="61" xfId="0" applyNumberFormat="1" applyFont="1" applyFill="1" applyBorder="1" applyAlignment="1" applyProtection="1">
      <alignment horizontal="center"/>
      <protection/>
    </xf>
    <xf numFmtId="4" fontId="0" fillId="0" borderId="26" xfId="0" applyNumberFormat="1" applyFont="1" applyFill="1" applyBorder="1" applyAlignment="1" applyProtection="1">
      <alignment horizontal="right"/>
      <protection/>
    </xf>
    <xf numFmtId="4" fontId="0" fillId="0" borderId="13" xfId="0" applyNumberFormat="1" applyFont="1" applyFill="1" applyBorder="1" applyAlignment="1" applyProtection="1">
      <alignment horizontal="right"/>
      <protection locked="0"/>
    </xf>
    <xf numFmtId="4" fontId="0" fillId="0" borderId="35" xfId="0" applyNumberFormat="1" applyFont="1" applyFill="1" applyBorder="1" applyAlignment="1" applyProtection="1">
      <alignment horizontal="right"/>
      <protection locked="0"/>
    </xf>
    <xf numFmtId="0" fontId="18" fillId="0" borderId="0" xfId="0" applyFont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 locked="0"/>
    </xf>
    <xf numFmtId="0" fontId="19" fillId="0" borderId="18" xfId="0" applyFont="1" applyFill="1" applyBorder="1" applyAlignment="1" applyProtection="1">
      <alignment horizontal="center"/>
      <protection locked="0"/>
    </xf>
    <xf numFmtId="0" fontId="19" fillId="0" borderId="19" xfId="0" applyFont="1" applyFill="1" applyBorder="1" applyAlignment="1" applyProtection="1">
      <alignment horizontal="center"/>
      <protection locked="0"/>
    </xf>
    <xf numFmtId="2" fontId="19" fillId="2" borderId="19" xfId="0" applyNumberFormat="1" applyFont="1" applyFill="1" applyBorder="1" applyAlignment="1" applyProtection="1">
      <alignment horizontal="center"/>
      <protection locked="0"/>
    </xf>
    <xf numFmtId="2" fontId="19" fillId="0" borderId="19" xfId="0" applyNumberFormat="1" applyFont="1" applyFill="1" applyBorder="1" applyAlignment="1" applyProtection="1">
      <alignment horizontal="center"/>
      <protection/>
    </xf>
    <xf numFmtId="2" fontId="19" fillId="0" borderId="22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 locked="0"/>
    </xf>
    <xf numFmtId="0" fontId="19" fillId="2" borderId="10" xfId="0" applyFont="1" applyFill="1" applyBorder="1" applyAlignment="1" applyProtection="1">
      <alignment horizontal="center"/>
      <protection locked="0"/>
    </xf>
    <xf numFmtId="2" fontId="19" fillId="0" borderId="10" xfId="0" applyNumberFormat="1" applyFont="1" applyFill="1" applyBorder="1" applyAlignment="1" applyProtection="1">
      <alignment horizontal="center"/>
      <protection/>
    </xf>
    <xf numFmtId="2" fontId="19" fillId="0" borderId="60" xfId="0" applyNumberFormat="1" applyFont="1" applyFill="1" applyBorder="1" applyAlignment="1" applyProtection="1">
      <alignment horizontal="center"/>
      <protection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9" fillId="0" borderId="70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71" xfId="0" applyFont="1" applyBorder="1" applyAlignment="1">
      <alignment/>
    </xf>
    <xf numFmtId="0" fontId="9" fillId="0" borderId="40" xfId="0" applyFont="1" applyBorder="1" applyAlignment="1">
      <alignment/>
    </xf>
    <xf numFmtId="0" fontId="10" fillId="0" borderId="71" xfId="0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71" xfId="0" applyFont="1" applyFill="1" applyBorder="1" applyAlignment="1" applyProtection="1">
      <alignment/>
      <protection locked="0"/>
    </xf>
    <xf numFmtId="0" fontId="10" fillId="0" borderId="40" xfId="0" applyFont="1" applyFill="1" applyBorder="1" applyAlignment="1" applyProtection="1">
      <alignment/>
      <protection locked="0"/>
    </xf>
    <xf numFmtId="0" fontId="9" fillId="0" borderId="71" xfId="0" applyFont="1" applyFill="1" applyBorder="1" applyAlignment="1" applyProtection="1">
      <alignment/>
      <protection locked="0"/>
    </xf>
    <xf numFmtId="0" fontId="9" fillId="0" borderId="40" xfId="0" applyFont="1" applyFill="1" applyBorder="1" applyAlignment="1" applyProtection="1">
      <alignment/>
      <protection locked="0"/>
    </xf>
    <xf numFmtId="0" fontId="9" fillId="0" borderId="72" xfId="0" applyFont="1" applyFill="1" applyBorder="1" applyAlignment="1" applyProtection="1">
      <alignment/>
      <protection locked="0"/>
    </xf>
    <xf numFmtId="0" fontId="9" fillId="0" borderId="56" xfId="0" applyFont="1" applyFill="1" applyBorder="1" applyAlignment="1" applyProtection="1">
      <alignment/>
      <protection locked="0"/>
    </xf>
    <xf numFmtId="0" fontId="1" fillId="0" borderId="16" xfId="0" applyFont="1" applyFill="1" applyBorder="1" applyAlignment="1" applyProtection="1">
      <alignment horizontal="right"/>
      <protection locked="0"/>
    </xf>
    <xf numFmtId="0" fontId="1" fillId="0" borderId="24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10" fontId="0" fillId="0" borderId="0" xfId="0" applyNumberFormat="1" applyFill="1" applyBorder="1" applyAlignment="1" applyProtection="1">
      <alignment horizontal="center"/>
      <protection locked="0"/>
    </xf>
    <xf numFmtId="0" fontId="2" fillId="0" borderId="25" xfId="0" applyFont="1" applyBorder="1" applyAlignment="1">
      <alignment horizontal="center"/>
    </xf>
    <xf numFmtId="0" fontId="2" fillId="0" borderId="25" xfId="0" applyFont="1" applyBorder="1" applyAlignment="1" applyProtection="1">
      <alignment horizontal="center"/>
      <protection locked="0"/>
    </xf>
    <xf numFmtId="0" fontId="17" fillId="0" borderId="73" xfId="0" applyFont="1" applyBorder="1" applyAlignment="1" applyProtection="1">
      <alignment horizontal="center"/>
      <protection locked="0"/>
    </xf>
    <xf numFmtId="0" fontId="17" fillId="0" borderId="74" xfId="0" applyFont="1" applyBorder="1" applyAlignment="1" applyProtection="1">
      <alignment horizontal="center"/>
      <protection locked="0"/>
    </xf>
    <xf numFmtId="0" fontId="2" fillId="0" borderId="75" xfId="0" applyFont="1" applyBorder="1" applyAlignment="1" applyProtection="1">
      <alignment horizontal="center"/>
      <protection locked="0"/>
    </xf>
    <xf numFmtId="0" fontId="2" fillId="0" borderId="45" xfId="0" applyFont="1" applyBorder="1" applyAlignment="1" applyProtection="1">
      <alignment horizontal="center"/>
      <protection locked="0"/>
    </xf>
    <xf numFmtId="0" fontId="2" fillId="0" borderId="46" xfId="0" applyFont="1" applyBorder="1" applyAlignment="1" applyProtection="1">
      <alignment horizontal="center"/>
      <protection locked="0"/>
    </xf>
    <xf numFmtId="0" fontId="2" fillId="0" borderId="71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2" fontId="2" fillId="0" borderId="40" xfId="0" applyNumberFormat="1" applyFont="1" applyFill="1" applyBorder="1" applyAlignment="1" applyProtection="1">
      <alignment horizontal="center"/>
      <protection locked="0"/>
    </xf>
    <xf numFmtId="2" fontId="2" fillId="0" borderId="40" xfId="0" applyNumberFormat="1" applyFont="1" applyBorder="1" applyAlignment="1" applyProtection="1">
      <alignment horizontal="center"/>
      <protection locked="0"/>
    </xf>
    <xf numFmtId="0" fontId="2" fillId="0" borderId="76" xfId="0" applyFont="1" applyBorder="1" applyAlignment="1">
      <alignment horizontal="left"/>
    </xf>
    <xf numFmtId="0" fontId="2" fillId="0" borderId="58" xfId="0" applyFont="1" applyBorder="1" applyAlignment="1">
      <alignment horizontal="left"/>
    </xf>
    <xf numFmtId="2" fontId="2" fillId="0" borderId="58" xfId="0" applyNumberFormat="1" applyFont="1" applyBorder="1" applyAlignment="1" applyProtection="1">
      <alignment horizontal="center"/>
      <protection locked="0"/>
    </xf>
    <xf numFmtId="2" fontId="2" fillId="0" borderId="40" xfId="0" applyNumberFormat="1" applyFont="1" applyBorder="1" applyAlignment="1">
      <alignment horizontal="center"/>
    </xf>
    <xf numFmtId="2" fontId="2" fillId="0" borderId="40" xfId="0" applyNumberFormat="1" applyFont="1" applyBorder="1" applyAlignment="1">
      <alignment horizontal="center"/>
    </xf>
    <xf numFmtId="0" fontId="17" fillId="0" borderId="73" xfId="0" applyFont="1" applyBorder="1" applyAlignment="1">
      <alignment horizontal="center"/>
    </xf>
    <xf numFmtId="0" fontId="17" fillId="0" borderId="74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2" fontId="2" fillId="0" borderId="49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0" fontId="13" fillId="0" borderId="44" xfId="0" applyFont="1" applyBorder="1" applyAlignment="1">
      <alignment horizontal="left"/>
    </xf>
    <xf numFmtId="0" fontId="13" fillId="0" borderId="45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2" fillId="0" borderId="40" xfId="0" applyFont="1" applyBorder="1" applyAlignment="1">
      <alignment horizontal="center" wrapText="1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17" fillId="0" borderId="72" xfId="0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0" fontId="2" fillId="0" borderId="71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0" xfId="0" applyFont="1" applyAlignment="1">
      <alignment horizontal="center"/>
    </xf>
    <xf numFmtId="2" fontId="7" fillId="0" borderId="56" xfId="0" applyNumberFormat="1" applyFont="1" applyBorder="1" applyAlignment="1">
      <alignment horizontal="center"/>
    </xf>
    <xf numFmtId="0" fontId="7" fillId="0" borderId="54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38" xfId="0" applyFont="1" applyBorder="1" applyAlignment="1">
      <alignment horizontal="right"/>
    </xf>
    <xf numFmtId="0" fontId="7" fillId="0" borderId="54" xfId="0" applyFont="1" applyBorder="1" applyAlignment="1" applyProtection="1">
      <alignment horizontal="right"/>
      <protection/>
    </xf>
    <xf numFmtId="0" fontId="7" fillId="0" borderId="13" xfId="0" applyFont="1" applyBorder="1" applyAlignment="1" applyProtection="1">
      <alignment horizontal="right"/>
      <protection/>
    </xf>
    <xf numFmtId="0" fontId="7" fillId="0" borderId="38" xfId="0" applyFont="1" applyBorder="1" applyAlignment="1" applyProtection="1">
      <alignment horizontal="right"/>
      <protection/>
    </xf>
    <xf numFmtId="0" fontId="7" fillId="0" borderId="12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72" xfId="0" applyFont="1" applyBorder="1" applyAlignment="1">
      <alignment horizontal="left"/>
    </xf>
    <xf numFmtId="0" fontId="7" fillId="0" borderId="56" xfId="0" applyFont="1" applyBorder="1" applyAlignment="1">
      <alignment horizontal="left"/>
    </xf>
    <xf numFmtId="4" fontId="6" fillId="0" borderId="21" xfId="0" applyNumberFormat="1" applyFont="1" applyFill="1" applyBorder="1" applyAlignment="1" applyProtection="1">
      <alignment horizontal="center"/>
      <protection/>
    </xf>
    <xf numFmtId="4" fontId="6" fillId="0" borderId="34" xfId="0" applyNumberFormat="1" applyFont="1" applyFill="1" applyBorder="1" applyAlignment="1" applyProtection="1">
      <alignment horizontal="center"/>
      <protection/>
    </xf>
    <xf numFmtId="0" fontId="0" fillId="25" borderId="25" xfId="0" applyFont="1" applyFill="1" applyBorder="1" applyAlignment="1" applyProtection="1">
      <alignment horizontal="right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zoomScaleSheetLayoutView="100" zoomScalePageLayoutView="0" workbookViewId="0" topLeftCell="A1">
      <selection activeCell="S13" sqref="S13"/>
    </sheetView>
  </sheetViews>
  <sheetFormatPr defaultColWidth="9.00390625" defaultRowHeight="12.75"/>
  <cols>
    <col min="1" max="1" width="3.375" style="0" customWidth="1"/>
    <col min="3" max="3" width="20.125" style="0" customWidth="1"/>
    <col min="5" max="5" width="0.6171875" style="0" customWidth="1"/>
    <col min="6" max="6" width="9.125" style="0" hidden="1" customWidth="1"/>
    <col min="8" max="8" width="3.25390625" style="0" customWidth="1"/>
    <col min="11" max="11" width="2.625" style="0" customWidth="1"/>
    <col min="12" max="12" width="3.625" style="0" customWidth="1"/>
    <col min="14" max="14" width="10.125" style="0" customWidth="1"/>
  </cols>
  <sheetData>
    <row r="1" spans="1:14" ht="12.75" customHeight="1">
      <c r="A1" s="506" t="s">
        <v>323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</row>
    <row r="2" spans="1:14" ht="12.75">
      <c r="A2" s="506"/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</row>
    <row r="3" spans="1:14" ht="12.75">
      <c r="A3" s="500"/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</row>
    <row r="4" spans="1:14" ht="12.75">
      <c r="A4" s="501"/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</row>
    <row r="5" spans="1:14" ht="12.75">
      <c r="A5" s="501"/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</row>
    <row r="6" spans="1:14" ht="13.5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 t="s">
        <v>3</v>
      </c>
    </row>
    <row r="7" spans="1:14" ht="12.75">
      <c r="A7" s="502" t="s">
        <v>299</v>
      </c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3"/>
      <c r="N7" s="392">
        <f>M8</f>
        <v>11795.35</v>
      </c>
    </row>
    <row r="8" spans="1:14" ht="12.75">
      <c r="A8" s="393" t="s">
        <v>300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345">
        <v>11795.35</v>
      </c>
      <c r="N8" s="394"/>
    </row>
    <row r="9" spans="1:14" ht="13.5" thickBot="1">
      <c r="A9" s="395"/>
      <c r="B9" s="396"/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397"/>
      <c r="N9" s="398"/>
    </row>
    <row r="10" spans="1:14" ht="12.75">
      <c r="A10" s="39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397"/>
      <c r="N10" s="400"/>
    </row>
    <row r="12" spans="1:14" ht="12.75">
      <c r="A12" s="500" t="s">
        <v>24</v>
      </c>
      <c r="B12" s="500"/>
      <c r="C12" s="500"/>
      <c r="D12" s="500"/>
      <c r="E12" s="500"/>
      <c r="F12" s="500"/>
      <c r="G12" s="500"/>
      <c r="H12" s="500"/>
      <c r="I12" s="500"/>
      <c r="J12" s="500"/>
      <c r="K12" s="500"/>
      <c r="L12" s="500"/>
      <c r="M12" s="500"/>
      <c r="N12" s="500"/>
    </row>
    <row r="13" spans="1:14" ht="12.75">
      <c r="A13" s="501" t="s">
        <v>25</v>
      </c>
      <c r="B13" s="501"/>
      <c r="C13" s="501"/>
      <c r="D13" s="501"/>
      <c r="E13" s="501"/>
      <c r="F13" s="501"/>
      <c r="G13" s="501"/>
      <c r="H13" s="501"/>
      <c r="I13" s="501"/>
      <c r="J13" s="501"/>
      <c r="K13" s="501"/>
      <c r="L13" s="501"/>
      <c r="M13" s="501"/>
      <c r="N13" s="501"/>
    </row>
    <row r="14" spans="1:14" ht="12.75">
      <c r="A14" s="501" t="s">
        <v>80</v>
      </c>
      <c r="B14" s="501"/>
      <c r="C14" s="501"/>
      <c r="D14" s="501"/>
      <c r="E14" s="501"/>
      <c r="F14" s="501"/>
      <c r="G14" s="501"/>
      <c r="H14" s="501"/>
      <c r="I14" s="501"/>
      <c r="J14" s="501"/>
      <c r="K14" s="501"/>
      <c r="L14" s="501"/>
      <c r="M14" s="501"/>
      <c r="N14" s="501"/>
    </row>
    <row r="15" spans="1:14" ht="13.5" thickBo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 t="s">
        <v>3</v>
      </c>
    </row>
    <row r="16" spans="1:14" ht="12.75">
      <c r="A16" s="502" t="s">
        <v>301</v>
      </c>
      <c r="B16" s="502"/>
      <c r="C16" s="502"/>
      <c r="D16" s="502"/>
      <c r="E16" s="502"/>
      <c r="F16" s="502"/>
      <c r="G16" s="502"/>
      <c r="H16" s="502"/>
      <c r="I16" s="502"/>
      <c r="J16" s="502"/>
      <c r="K16" s="502"/>
      <c r="L16" s="502"/>
      <c r="M16" s="503"/>
      <c r="N16" s="392">
        <f>M18+M19+N19+M23</f>
        <v>11795.35</v>
      </c>
    </row>
    <row r="17" spans="1:14" ht="12.75">
      <c r="A17" s="504"/>
      <c r="B17" s="505"/>
      <c r="C17" s="505"/>
      <c r="D17" s="505"/>
      <c r="E17" s="505"/>
      <c r="F17" s="505"/>
      <c r="G17" s="505"/>
      <c r="H17" s="505"/>
      <c r="I17" s="505"/>
      <c r="J17" s="505"/>
      <c r="K17" s="505"/>
      <c r="L17" s="505"/>
      <c r="M17" s="505"/>
      <c r="N17" s="394"/>
    </row>
    <row r="18" spans="1:14" ht="12.75">
      <c r="A18" s="39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3"/>
      <c r="N18" s="398"/>
    </row>
    <row r="19" spans="1:14" ht="12.75">
      <c r="A19" s="401" t="s">
        <v>302</v>
      </c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85">
        <f>M20+M21</f>
        <v>11795.35</v>
      </c>
      <c r="N19" s="398"/>
    </row>
    <row r="20" spans="1:14" ht="12.75">
      <c r="A20" s="4"/>
      <c r="B20" s="4"/>
      <c r="C20" s="4"/>
      <c r="D20" s="4">
        <v>21.17</v>
      </c>
      <c r="E20" s="4"/>
      <c r="F20" s="4"/>
      <c r="G20" s="4" t="s">
        <v>0</v>
      </c>
      <c r="H20" s="4"/>
      <c r="I20" s="4">
        <v>335</v>
      </c>
      <c r="J20" s="4"/>
      <c r="K20" s="4"/>
      <c r="L20" s="4"/>
      <c r="M20" s="385">
        <f>D20*I20</f>
        <v>7091.950000000001</v>
      </c>
      <c r="N20" s="398"/>
    </row>
    <row r="21" spans="4:14" ht="12.75">
      <c r="D21">
        <v>14.04</v>
      </c>
      <c r="G21" t="s">
        <v>0</v>
      </c>
      <c r="I21">
        <v>335</v>
      </c>
      <c r="M21" s="385">
        <f>D21*I21</f>
        <v>4703.4</v>
      </c>
      <c r="N21" s="402"/>
    </row>
    <row r="22" spans="1:14" ht="12.75">
      <c r="A22" s="504"/>
      <c r="B22" s="505"/>
      <c r="C22" s="505"/>
      <c r="D22" s="505"/>
      <c r="E22" s="505"/>
      <c r="F22" s="505"/>
      <c r="G22" s="505"/>
      <c r="H22" s="505"/>
      <c r="I22" s="505"/>
      <c r="J22" s="505"/>
      <c r="K22" s="505"/>
      <c r="L22" s="505"/>
      <c r="M22" s="505"/>
      <c r="N22" s="402"/>
    </row>
    <row r="23" spans="1:14" ht="12.75">
      <c r="A23" s="39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35"/>
      <c r="N23" s="403"/>
    </row>
    <row r="24" spans="2:9" ht="12.75">
      <c r="B24" s="5" t="s">
        <v>87</v>
      </c>
      <c r="C24" s="5"/>
      <c r="D24" s="404" t="s">
        <v>43</v>
      </c>
      <c r="E24" s="28"/>
      <c r="F24" s="28"/>
      <c r="G24" s="421"/>
      <c r="H24" s="421"/>
      <c r="I24" t="s">
        <v>12</v>
      </c>
    </row>
    <row r="25" spans="2:9" ht="12.75">
      <c r="B25" s="167"/>
      <c r="C25" s="167"/>
      <c r="D25" s="167"/>
      <c r="E25" s="166"/>
      <c r="F25" s="166"/>
      <c r="G25" s="422"/>
      <c r="H25" s="422"/>
      <c r="I25" s="406" t="s">
        <v>5</v>
      </c>
    </row>
    <row r="26" spans="2:6" ht="12.75">
      <c r="B26" s="167"/>
      <c r="C26" s="167"/>
      <c r="D26" s="167"/>
      <c r="E26" s="167"/>
      <c r="F26" s="167"/>
    </row>
    <row r="27" spans="2:9" ht="12.75">
      <c r="B27" s="5" t="s">
        <v>71</v>
      </c>
      <c r="C27" s="5"/>
      <c r="D27" s="166" t="s">
        <v>43</v>
      </c>
      <c r="E27" s="5"/>
      <c r="F27" s="5"/>
      <c r="G27" s="405"/>
      <c r="H27" s="405"/>
      <c r="I27" t="s">
        <v>289</v>
      </c>
    </row>
    <row r="28" spans="2:9" ht="12.75">
      <c r="B28" s="156"/>
      <c r="C28" s="156"/>
      <c r="D28" s="156"/>
      <c r="E28" s="166"/>
      <c r="F28" s="166"/>
      <c r="I28" s="406" t="s">
        <v>5</v>
      </c>
    </row>
  </sheetData>
  <sheetProtection/>
  <mergeCells count="11">
    <mergeCell ref="A1:N2"/>
    <mergeCell ref="A3:N3"/>
    <mergeCell ref="A4:N4"/>
    <mergeCell ref="A5:N5"/>
    <mergeCell ref="A7:M7"/>
    <mergeCell ref="A12:N12"/>
    <mergeCell ref="A13:N13"/>
    <mergeCell ref="A14:N14"/>
    <mergeCell ref="A16:M16"/>
    <mergeCell ref="A17:M17"/>
    <mergeCell ref="A22:M22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O22"/>
  <sheetViews>
    <sheetView view="pageBreakPreview" zoomScaleSheetLayoutView="100" zoomScalePageLayoutView="0" workbookViewId="0" topLeftCell="A1">
      <selection activeCell="N33" sqref="N33"/>
    </sheetView>
  </sheetViews>
  <sheetFormatPr defaultColWidth="9.00390625" defaultRowHeight="12.75"/>
  <cols>
    <col min="1" max="1" width="6.125" style="1" customWidth="1"/>
    <col min="2" max="2" width="13.625" style="134" customWidth="1"/>
    <col min="3" max="3" width="16.00390625" style="134" customWidth="1"/>
    <col min="4" max="4" width="7.75390625" style="134" customWidth="1"/>
    <col min="5" max="5" width="1.625" style="134" customWidth="1"/>
    <col min="6" max="6" width="5.00390625" style="134" customWidth="1"/>
    <col min="7" max="7" width="4.125" style="134" customWidth="1"/>
    <col min="8" max="8" width="8.00390625" style="134" customWidth="1"/>
    <col min="9" max="9" width="7.00390625" style="134" customWidth="1"/>
    <col min="10" max="10" width="4.25390625" style="134" customWidth="1"/>
    <col min="11" max="11" width="11.75390625" style="134" customWidth="1"/>
    <col min="12" max="12" width="7.00390625" style="134" customWidth="1"/>
    <col min="13" max="13" width="1.625" style="134" customWidth="1"/>
    <col min="14" max="14" width="11.625" style="134" customWidth="1"/>
    <col min="15" max="15" width="13.875" style="134" customWidth="1"/>
  </cols>
  <sheetData>
    <row r="1" spans="2:15" ht="33" customHeight="1">
      <c r="B1" s="510" t="s">
        <v>324</v>
      </c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</row>
    <row r="2" spans="2:15" ht="12.7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2:15" ht="12.75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2:15" ht="12.75">
      <c r="B4" s="511" t="s">
        <v>10</v>
      </c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</row>
    <row r="5" spans="2:15" ht="12.75">
      <c r="B5" s="512" t="s">
        <v>11</v>
      </c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</row>
    <row r="6" spans="2:15" ht="12.75">
      <c r="B6" s="512" t="s">
        <v>206</v>
      </c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</row>
    <row r="7" spans="2:15" ht="13.5" thickBot="1"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 t="s">
        <v>3</v>
      </c>
    </row>
    <row r="8" spans="2:15" ht="13.5" thickBot="1">
      <c r="B8" s="513"/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13"/>
      <c r="N8" s="513"/>
      <c r="O8" s="225">
        <f>M14</f>
        <v>100000</v>
      </c>
    </row>
    <row r="9" spans="2:15" ht="12.75">
      <c r="B9" s="89" t="s">
        <v>207</v>
      </c>
      <c r="C9" s="90"/>
      <c r="D9" s="339"/>
      <c r="E9" s="101"/>
      <c r="F9" s="101"/>
      <c r="G9" s="90"/>
      <c r="H9" s="90"/>
      <c r="I9" s="90"/>
      <c r="J9" s="90"/>
      <c r="K9" s="340"/>
      <c r="L9" s="340"/>
      <c r="M9" s="638">
        <v>100000</v>
      </c>
      <c r="N9" s="646"/>
      <c r="O9" s="93"/>
    </row>
    <row r="10" spans="2:15" ht="12.75">
      <c r="B10" s="55" t="s">
        <v>208</v>
      </c>
      <c r="C10" s="57"/>
      <c r="D10" s="343"/>
      <c r="E10" s="60"/>
      <c r="F10" s="60"/>
      <c r="G10" s="57"/>
      <c r="H10" s="57"/>
      <c r="I10" s="57"/>
      <c r="J10" s="57"/>
      <c r="K10" s="68"/>
      <c r="L10" s="68"/>
      <c r="M10" s="647"/>
      <c r="N10" s="648"/>
      <c r="O10" s="94"/>
    </row>
    <row r="11" spans="2:15" ht="12.75" hidden="1">
      <c r="B11" s="55"/>
      <c r="C11" s="57"/>
      <c r="D11" s="343"/>
      <c r="E11" s="60"/>
      <c r="F11" s="60"/>
      <c r="G11" s="57"/>
      <c r="H11" s="57"/>
      <c r="I11" s="57"/>
      <c r="J11" s="57"/>
      <c r="K11" s="68"/>
      <c r="L11" s="68"/>
      <c r="M11" s="359"/>
      <c r="N11" s="360"/>
      <c r="O11" s="94"/>
    </row>
    <row r="12" spans="2:15" ht="12.75" hidden="1">
      <c r="B12" s="55"/>
      <c r="C12" s="57"/>
      <c r="D12" s="343"/>
      <c r="E12" s="60"/>
      <c r="F12" s="60"/>
      <c r="G12" s="57"/>
      <c r="H12" s="57"/>
      <c r="I12" s="57"/>
      <c r="J12" s="57"/>
      <c r="K12" s="68"/>
      <c r="L12" s="68"/>
      <c r="M12" s="359"/>
      <c r="N12" s="360"/>
      <c r="O12" s="94"/>
    </row>
    <row r="13" spans="2:15" ht="12.75" hidden="1">
      <c r="B13" s="55"/>
      <c r="C13" s="57"/>
      <c r="D13" s="343"/>
      <c r="E13" s="60"/>
      <c r="F13" s="60"/>
      <c r="G13" s="57"/>
      <c r="H13" s="57"/>
      <c r="I13" s="57"/>
      <c r="J13" s="57"/>
      <c r="K13" s="68"/>
      <c r="L13" s="68"/>
      <c r="M13" s="359"/>
      <c r="N13" s="360"/>
      <c r="O13" s="94"/>
    </row>
    <row r="14" spans="2:15" ht="13.5" thickBot="1">
      <c r="B14" s="95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634">
        <f>M9+N12+N13</f>
        <v>100000</v>
      </c>
      <c r="N14" s="635"/>
      <c r="O14" s="98"/>
    </row>
    <row r="15" spans="2:15" ht="12.7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2:15" ht="12.75">
      <c r="B16" s="62"/>
      <c r="C16" s="62"/>
      <c r="D16" s="62"/>
      <c r="E16" s="62"/>
      <c r="F16" s="62"/>
      <c r="G16" s="62"/>
      <c r="H16" s="62"/>
      <c r="I16" s="52"/>
      <c r="J16" s="52"/>
      <c r="K16" s="52"/>
      <c r="L16" s="52"/>
      <c r="M16" s="52"/>
      <c r="N16" s="52"/>
      <c r="O16" s="52"/>
    </row>
    <row r="17" spans="2:15" ht="12.75">
      <c r="B17" s="544" t="s">
        <v>42</v>
      </c>
      <c r="C17" s="544"/>
      <c r="D17" s="84" t="s">
        <v>43</v>
      </c>
      <c r="E17" s="545"/>
      <c r="F17" s="545"/>
      <c r="G17" s="545"/>
      <c r="H17" s="545"/>
      <c r="I17" s="5"/>
      <c r="J17" s="5"/>
      <c r="K17" s="6" t="s">
        <v>12</v>
      </c>
      <c r="L17" s="6"/>
      <c r="M17" s="6"/>
      <c r="N17" s="6"/>
      <c r="O17" s="6"/>
    </row>
    <row r="18" spans="2:15" ht="12.75">
      <c r="B18" s="7"/>
      <c r="C18" s="7"/>
      <c r="D18" s="7"/>
      <c r="E18" s="5"/>
      <c r="F18" s="5"/>
      <c r="G18" s="5"/>
      <c r="H18" s="5"/>
      <c r="I18" s="5"/>
      <c r="J18" s="5"/>
      <c r="K18" s="5" t="s">
        <v>5</v>
      </c>
      <c r="L18" s="6"/>
      <c r="M18" s="6"/>
      <c r="N18" s="6"/>
      <c r="O18" s="6"/>
    </row>
    <row r="19" spans="2:15" ht="12.75">
      <c r="B19" s="7"/>
      <c r="C19" s="7"/>
      <c r="D19" s="7"/>
      <c r="E19" s="7"/>
      <c r="F19" s="7"/>
      <c r="G19" s="7"/>
      <c r="H19" s="7"/>
      <c r="I19" s="7"/>
      <c r="J19" s="5"/>
      <c r="K19" s="5"/>
      <c r="L19" s="6"/>
      <c r="M19" s="6"/>
      <c r="N19" s="6"/>
      <c r="O19" s="6"/>
    </row>
    <row r="20" spans="2:15" ht="12.75">
      <c r="B20" s="544" t="s">
        <v>44</v>
      </c>
      <c r="C20" s="544"/>
      <c r="D20" s="84" t="s">
        <v>43</v>
      </c>
      <c r="E20" s="545"/>
      <c r="F20" s="545"/>
      <c r="G20" s="545"/>
      <c r="H20" s="545"/>
      <c r="I20" s="5"/>
      <c r="J20" s="5"/>
      <c r="K20" s="5" t="s">
        <v>289</v>
      </c>
      <c r="L20" s="6"/>
      <c r="M20" s="6"/>
      <c r="N20" s="6"/>
      <c r="O20" s="6"/>
    </row>
    <row r="21" spans="2:15" ht="12.75">
      <c r="B21" s="6"/>
      <c r="C21" s="6"/>
      <c r="D21" s="6"/>
      <c r="E21" s="5"/>
      <c r="F21" s="5"/>
      <c r="G21" s="6"/>
      <c r="H21" s="6"/>
      <c r="I21" s="6"/>
      <c r="J21" s="5"/>
      <c r="K21" s="5" t="s">
        <v>5</v>
      </c>
      <c r="L21" s="6"/>
      <c r="M21" s="6"/>
      <c r="N21" s="6"/>
      <c r="O21" s="6"/>
    </row>
    <row r="22" spans="2:15" ht="12.7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</sheetData>
  <sheetProtection/>
  <mergeCells count="12">
    <mergeCell ref="M10:N10"/>
    <mergeCell ref="M14:N14"/>
    <mergeCell ref="B17:C17"/>
    <mergeCell ref="E17:H17"/>
    <mergeCell ref="B20:C20"/>
    <mergeCell ref="E20:H20"/>
    <mergeCell ref="B1:O1"/>
    <mergeCell ref="B4:O4"/>
    <mergeCell ref="B5:O5"/>
    <mergeCell ref="B6:O6"/>
    <mergeCell ref="B8:N8"/>
    <mergeCell ref="M9:N9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1"/>
  <sheetViews>
    <sheetView view="pageBreakPreview" zoomScaleSheetLayoutView="100" zoomScalePageLayoutView="0" workbookViewId="0" topLeftCell="A1">
      <selection activeCell="T13" sqref="T13"/>
    </sheetView>
  </sheetViews>
  <sheetFormatPr defaultColWidth="9.00390625" defaultRowHeight="12.75"/>
  <cols>
    <col min="1" max="1" width="6.125" style="1" customWidth="1"/>
    <col min="2" max="2" width="13.625" style="134" customWidth="1"/>
    <col min="3" max="3" width="16.00390625" style="134" customWidth="1"/>
    <col min="4" max="4" width="7.75390625" style="134" customWidth="1"/>
    <col min="5" max="5" width="1.625" style="134" customWidth="1"/>
    <col min="6" max="6" width="5.00390625" style="134" customWidth="1"/>
    <col min="7" max="7" width="4.125" style="134" customWidth="1"/>
    <col min="8" max="8" width="8.00390625" style="134" customWidth="1"/>
    <col min="9" max="9" width="7.00390625" style="134" customWidth="1"/>
    <col min="10" max="10" width="4.25390625" style="134" customWidth="1"/>
    <col min="11" max="11" width="11.75390625" style="134" customWidth="1"/>
    <col min="12" max="12" width="7.00390625" style="134" customWidth="1"/>
    <col min="13" max="13" width="1.625" style="134" customWidth="1"/>
    <col min="14" max="14" width="11.625" style="134" customWidth="1"/>
    <col min="15" max="15" width="13.875" style="134" customWidth="1"/>
    <col min="16" max="17" width="10.125" style="0" bestFit="1" customWidth="1"/>
  </cols>
  <sheetData>
    <row r="1" spans="2:15" ht="33" customHeight="1">
      <c r="B1" s="510" t="s">
        <v>324</v>
      </c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</row>
    <row r="2" spans="2:15" ht="12.7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2:15" ht="12.75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2:15" ht="12.75">
      <c r="B4" s="511" t="s">
        <v>37</v>
      </c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</row>
    <row r="5" spans="2:15" ht="12.75">
      <c r="B5" s="512" t="s">
        <v>38</v>
      </c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</row>
    <row r="6" spans="2:15" ht="12.75">
      <c r="B6" s="512" t="s">
        <v>209</v>
      </c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</row>
    <row r="7" spans="2:15" ht="13.5" thickBot="1"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 t="s">
        <v>3</v>
      </c>
    </row>
    <row r="8" spans="2:15" ht="13.5" thickBot="1">
      <c r="B8" s="513"/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13"/>
      <c r="N8" s="513"/>
      <c r="O8" s="225">
        <f>N9+N32+N33+N34</f>
        <v>235217.72000000003</v>
      </c>
    </row>
    <row r="9" spans="2:15" ht="12.75">
      <c r="B9" s="89" t="s">
        <v>365</v>
      </c>
      <c r="C9" s="90"/>
      <c r="D9" s="472"/>
      <c r="E9" s="473"/>
      <c r="F9" s="473"/>
      <c r="G9" s="474"/>
      <c r="H9" s="474"/>
      <c r="I9" s="475"/>
      <c r="J9" s="475"/>
      <c r="K9" s="476"/>
      <c r="L9" s="476"/>
      <c r="M9" s="629">
        <v>1762.5</v>
      </c>
      <c r="N9" s="630"/>
      <c r="O9" s="93"/>
    </row>
    <row r="10" spans="2:15" ht="12.75" hidden="1">
      <c r="B10" s="51"/>
      <c r="C10" s="52"/>
      <c r="D10" s="413"/>
      <c r="E10" s="414"/>
      <c r="F10" s="414"/>
      <c r="G10" s="415"/>
      <c r="H10" s="415"/>
      <c r="I10" s="52"/>
      <c r="J10" s="52"/>
      <c r="K10" s="341"/>
      <c r="L10" s="341"/>
      <c r="M10" s="649"/>
      <c r="N10" s="650"/>
      <c r="O10" s="94"/>
    </row>
    <row r="11" spans="2:15" ht="12.75" hidden="1">
      <c r="B11" s="425"/>
      <c r="C11" s="428"/>
      <c r="D11" s="413"/>
      <c r="E11" s="414"/>
      <c r="F11" s="414"/>
      <c r="G11" s="415"/>
      <c r="H11" s="415"/>
      <c r="I11" s="52"/>
      <c r="J11" s="52"/>
      <c r="K11" s="341"/>
      <c r="L11" s="341"/>
      <c r="M11" s="651"/>
      <c r="N11" s="652"/>
      <c r="O11" s="94"/>
    </row>
    <row r="12" spans="2:15" ht="12.75" hidden="1">
      <c r="B12" s="425"/>
      <c r="C12" s="428"/>
      <c r="D12" s="413"/>
      <c r="E12" s="414"/>
      <c r="F12" s="414"/>
      <c r="G12" s="415"/>
      <c r="H12" s="415"/>
      <c r="I12" s="52"/>
      <c r="J12" s="52"/>
      <c r="K12" s="341"/>
      <c r="L12" s="341"/>
      <c r="M12" s="365"/>
      <c r="N12" s="366"/>
      <c r="O12" s="94"/>
    </row>
    <row r="13" spans="1:15" s="471" customFormat="1" ht="12.75">
      <c r="A13" s="467"/>
      <c r="B13" s="425" t="s">
        <v>365</v>
      </c>
      <c r="C13" s="428"/>
      <c r="D13" s="413"/>
      <c r="E13" s="414"/>
      <c r="F13" s="414"/>
      <c r="G13" s="415"/>
      <c r="H13" s="415"/>
      <c r="I13" s="61"/>
      <c r="J13" s="61"/>
      <c r="K13" s="362"/>
      <c r="L13" s="362"/>
      <c r="M13" s="365"/>
      <c r="N13" s="464">
        <v>1557.5</v>
      </c>
      <c r="O13" s="470"/>
    </row>
    <row r="14" spans="2:15" ht="12.75">
      <c r="B14" s="425" t="s">
        <v>359</v>
      </c>
      <c r="C14" s="428"/>
      <c r="D14" s="413"/>
      <c r="E14" s="414"/>
      <c r="F14" s="414"/>
      <c r="G14" s="415"/>
      <c r="H14" s="415"/>
      <c r="I14" s="52"/>
      <c r="J14" s="57"/>
      <c r="K14" s="68"/>
      <c r="L14" s="68"/>
      <c r="M14" s="365"/>
      <c r="N14" s="464">
        <v>12593.12</v>
      </c>
      <c r="O14" s="94"/>
    </row>
    <row r="15" spans="2:15" ht="12.75">
      <c r="B15" s="425" t="s">
        <v>360</v>
      </c>
      <c r="C15" s="428"/>
      <c r="D15" s="413"/>
      <c r="E15" s="414"/>
      <c r="F15" s="414"/>
      <c r="G15" s="415"/>
      <c r="H15" s="415"/>
      <c r="I15" s="52"/>
      <c r="J15" s="57"/>
      <c r="K15" s="68"/>
      <c r="L15" s="68"/>
      <c r="M15" s="365"/>
      <c r="N15" s="465">
        <v>7304</v>
      </c>
      <c r="O15" s="94"/>
    </row>
    <row r="16" spans="2:15" ht="12.75">
      <c r="B16" s="479" t="s">
        <v>361</v>
      </c>
      <c r="C16" s="459"/>
      <c r="D16" s="460"/>
      <c r="E16" s="457"/>
      <c r="F16" s="457"/>
      <c r="G16" s="458"/>
      <c r="H16" s="458"/>
      <c r="I16" s="61"/>
      <c r="J16" s="61"/>
      <c r="K16" s="362"/>
      <c r="L16" s="362"/>
      <c r="M16" s="365"/>
      <c r="N16" s="465">
        <v>11500</v>
      </c>
      <c r="O16" s="94"/>
    </row>
    <row r="17" spans="1:17" s="471" customFormat="1" ht="12.75">
      <c r="A17" s="467"/>
      <c r="B17" s="462" t="s">
        <v>370</v>
      </c>
      <c r="C17" s="61"/>
      <c r="D17" s="460"/>
      <c r="E17" s="457"/>
      <c r="F17" s="457"/>
      <c r="G17" s="458"/>
      <c r="H17" s="458"/>
      <c r="I17" s="468"/>
      <c r="J17" s="468"/>
      <c r="K17" s="469"/>
      <c r="L17" s="469"/>
      <c r="M17" s="477"/>
      <c r="N17" s="464">
        <v>17457</v>
      </c>
      <c r="O17" s="470"/>
      <c r="Q17" s="480"/>
    </row>
    <row r="18" spans="2:15" ht="12.75">
      <c r="B18" s="463" t="s">
        <v>358</v>
      </c>
      <c r="C18" s="57"/>
      <c r="D18" s="461"/>
      <c r="E18" s="453"/>
      <c r="F18" s="453"/>
      <c r="G18" s="410"/>
      <c r="H18" s="410"/>
      <c r="I18" s="57"/>
      <c r="J18" s="57"/>
      <c r="K18" s="68"/>
      <c r="L18" s="68"/>
      <c r="M18" s="367"/>
      <c r="N18" s="464">
        <v>19346.57</v>
      </c>
      <c r="O18" s="94"/>
    </row>
    <row r="19" spans="2:15" ht="12.75">
      <c r="B19" s="463" t="s">
        <v>363</v>
      </c>
      <c r="C19" s="57"/>
      <c r="D19" s="461"/>
      <c r="E19" s="453"/>
      <c r="F19" s="453"/>
      <c r="G19" s="410"/>
      <c r="H19" s="410"/>
      <c r="I19" s="57"/>
      <c r="J19" s="57"/>
      <c r="K19" s="68"/>
      <c r="L19" s="68"/>
      <c r="M19" s="367"/>
      <c r="N19" s="465">
        <v>2000</v>
      </c>
      <c r="O19" s="94"/>
    </row>
    <row r="20" spans="2:15" ht="12.75">
      <c r="B20" s="55" t="s">
        <v>362</v>
      </c>
      <c r="C20" s="57"/>
      <c r="D20" s="461"/>
      <c r="E20" s="453"/>
      <c r="F20" s="453"/>
      <c r="G20" s="410"/>
      <c r="H20" s="410"/>
      <c r="I20" s="57"/>
      <c r="J20" s="57"/>
      <c r="K20" s="68"/>
      <c r="L20" s="68"/>
      <c r="M20" s="367"/>
      <c r="N20" s="465">
        <v>12736.44</v>
      </c>
      <c r="O20" s="94"/>
    </row>
    <row r="21" spans="2:15" ht="12.75">
      <c r="B21" s="118" t="s">
        <v>369</v>
      </c>
      <c r="C21" s="61"/>
      <c r="D21" s="460"/>
      <c r="E21" s="457"/>
      <c r="F21" s="457"/>
      <c r="G21" s="458"/>
      <c r="H21" s="458"/>
      <c r="I21" s="61"/>
      <c r="J21" s="61"/>
      <c r="K21" s="362"/>
      <c r="L21" s="362"/>
      <c r="M21" s="365"/>
      <c r="N21" s="464">
        <v>7320</v>
      </c>
      <c r="O21" s="94"/>
    </row>
    <row r="22" spans="2:15" ht="12.75">
      <c r="B22" s="118" t="s">
        <v>356</v>
      </c>
      <c r="C22" s="61"/>
      <c r="D22" s="460"/>
      <c r="E22" s="457"/>
      <c r="F22" s="457"/>
      <c r="G22" s="458"/>
      <c r="H22" s="458"/>
      <c r="I22" s="61"/>
      <c r="J22" s="61"/>
      <c r="K22" s="362"/>
      <c r="L22" s="362"/>
      <c r="M22" s="365"/>
      <c r="N22" s="465">
        <v>2071.86</v>
      </c>
      <c r="O22" s="94"/>
    </row>
    <row r="23" spans="2:15" ht="12.75">
      <c r="B23" s="463" t="s">
        <v>357</v>
      </c>
      <c r="C23" s="459"/>
      <c r="D23" s="460"/>
      <c r="E23" s="457"/>
      <c r="F23" s="457"/>
      <c r="G23" s="458"/>
      <c r="H23" s="458"/>
      <c r="I23" s="61"/>
      <c r="J23" s="61"/>
      <c r="K23" s="362"/>
      <c r="L23" s="362"/>
      <c r="M23" s="365"/>
      <c r="N23" s="465">
        <v>25000</v>
      </c>
      <c r="O23" s="94"/>
    </row>
    <row r="24" spans="2:15" ht="12.75">
      <c r="B24" s="462" t="s">
        <v>366</v>
      </c>
      <c r="C24" s="61"/>
      <c r="D24" s="460"/>
      <c r="E24" s="457"/>
      <c r="F24" s="457"/>
      <c r="G24" s="458"/>
      <c r="H24" s="458"/>
      <c r="I24" s="61"/>
      <c r="J24" s="61"/>
      <c r="K24" s="362"/>
      <c r="L24" s="362"/>
      <c r="M24" s="365"/>
      <c r="N24" s="464">
        <v>1122.31</v>
      </c>
      <c r="O24" s="94"/>
    </row>
    <row r="25" spans="2:15" ht="12.75">
      <c r="B25" s="55" t="s">
        <v>367</v>
      </c>
      <c r="C25" s="57"/>
      <c r="D25" s="461"/>
      <c r="E25" s="453"/>
      <c r="F25" s="453"/>
      <c r="G25" s="410"/>
      <c r="H25" s="410"/>
      <c r="I25" s="57"/>
      <c r="J25" s="57"/>
      <c r="K25" s="68"/>
      <c r="L25" s="68"/>
      <c r="M25" s="367"/>
      <c r="N25" s="464">
        <v>1000</v>
      </c>
      <c r="O25" s="94"/>
    </row>
    <row r="26" spans="2:15" ht="12.75">
      <c r="B26" s="118" t="s">
        <v>352</v>
      </c>
      <c r="C26" s="61"/>
      <c r="D26" s="460"/>
      <c r="E26" s="457"/>
      <c r="F26" s="457"/>
      <c r="G26" s="458"/>
      <c r="H26" s="458"/>
      <c r="I26" s="61"/>
      <c r="J26" s="61"/>
      <c r="K26" s="362"/>
      <c r="L26" s="362"/>
      <c r="M26" s="365"/>
      <c r="N26" s="465">
        <f>35936.93</f>
        <v>35936.93</v>
      </c>
      <c r="O26" s="94"/>
    </row>
    <row r="27" spans="2:15" ht="12.75">
      <c r="B27" s="118" t="s">
        <v>364</v>
      </c>
      <c r="C27" s="61"/>
      <c r="D27" s="460"/>
      <c r="E27" s="457"/>
      <c r="F27" s="457"/>
      <c r="G27" s="458"/>
      <c r="H27" s="458"/>
      <c r="I27" s="61"/>
      <c r="J27" s="61"/>
      <c r="K27" s="362"/>
      <c r="L27" s="362"/>
      <c r="M27" s="365"/>
      <c r="N27" s="465">
        <v>5613</v>
      </c>
      <c r="O27" s="94"/>
    </row>
    <row r="28" spans="2:15" ht="12.75">
      <c r="B28" s="118" t="s">
        <v>353</v>
      </c>
      <c r="C28" s="61"/>
      <c r="D28" s="460"/>
      <c r="E28" s="457"/>
      <c r="F28" s="457"/>
      <c r="G28" s="458"/>
      <c r="H28" s="458"/>
      <c r="I28" s="61"/>
      <c r="J28" s="61"/>
      <c r="K28" s="362"/>
      <c r="L28" s="362"/>
      <c r="M28" s="365"/>
      <c r="N28" s="465">
        <v>1305.54</v>
      </c>
      <c r="O28" s="94"/>
    </row>
    <row r="29" spans="2:16" ht="12.75">
      <c r="B29" s="118" t="s">
        <v>354</v>
      </c>
      <c r="C29" s="61"/>
      <c r="D29" s="460"/>
      <c r="E29" s="457"/>
      <c r="F29" s="457"/>
      <c r="G29" s="458"/>
      <c r="H29" s="458"/>
      <c r="I29" s="61"/>
      <c r="J29" s="61"/>
      <c r="K29" s="362"/>
      <c r="L29" s="362"/>
      <c r="M29" s="365"/>
      <c r="N29" s="464">
        <v>11971</v>
      </c>
      <c r="O29" s="94"/>
      <c r="P29" s="430"/>
    </row>
    <row r="30" spans="2:17" ht="12.75">
      <c r="B30" s="462" t="s">
        <v>355</v>
      </c>
      <c r="C30" s="61"/>
      <c r="D30" s="460"/>
      <c r="E30" s="457"/>
      <c r="F30" s="457"/>
      <c r="G30" s="458"/>
      <c r="H30" s="458"/>
      <c r="I30" s="61"/>
      <c r="J30" s="61"/>
      <c r="K30" s="362"/>
      <c r="L30" s="362"/>
      <c r="M30" s="365"/>
      <c r="N30" s="466">
        <v>31656.31</v>
      </c>
      <c r="O30" s="94"/>
      <c r="P30" s="430"/>
      <c r="Q30" s="430"/>
    </row>
    <row r="31" spans="2:15" ht="12.75">
      <c r="B31" s="55" t="s">
        <v>368</v>
      </c>
      <c r="C31" s="57"/>
      <c r="D31" s="413"/>
      <c r="E31" s="414"/>
      <c r="F31" s="414"/>
      <c r="G31" s="415"/>
      <c r="H31" s="415"/>
      <c r="I31" s="52"/>
      <c r="J31" s="52"/>
      <c r="K31" s="341"/>
      <c r="L31" s="341"/>
      <c r="M31" s="365"/>
      <c r="N31" s="466">
        <v>25963.64</v>
      </c>
      <c r="O31" s="94"/>
    </row>
    <row r="32" spans="2:15" ht="12.75" hidden="1">
      <c r="B32" s="51"/>
      <c r="C32" s="52"/>
      <c r="D32" s="653"/>
      <c r="E32" s="653"/>
      <c r="F32" s="653"/>
      <c r="G32" s="410"/>
      <c r="H32" s="410"/>
      <c r="I32" s="57"/>
      <c r="J32" s="57"/>
      <c r="K32" s="68"/>
      <c r="L32" s="64"/>
      <c r="M32" s="644"/>
      <c r="N32" s="654"/>
      <c r="O32" s="94"/>
    </row>
    <row r="33" spans="2:15" ht="13.5" thickBot="1">
      <c r="B33" s="95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478"/>
      <c r="N33" s="448">
        <f>M9+N13+N14+N15+N16+N17+N18+N19+N20+N21+N22+N23+N24+N25+N26+N27+N28+N29+N30+N31</f>
        <v>235217.72000000003</v>
      </c>
      <c r="O33" s="98"/>
    </row>
    <row r="34" spans="2:15" ht="12.7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</row>
    <row r="35" spans="2:15" ht="12.75">
      <c r="B35" s="62"/>
      <c r="C35" s="62"/>
      <c r="D35" s="62"/>
      <c r="E35" s="62"/>
      <c r="F35" s="62"/>
      <c r="G35" s="62"/>
      <c r="H35" s="62"/>
      <c r="I35" s="52"/>
      <c r="J35" s="52"/>
      <c r="K35" s="52"/>
      <c r="L35" s="52"/>
      <c r="M35" s="52"/>
      <c r="N35" s="52"/>
      <c r="O35" s="52"/>
    </row>
    <row r="36" spans="2:15" ht="12.75">
      <c r="B36" s="544" t="s">
        <v>42</v>
      </c>
      <c r="C36" s="544"/>
      <c r="D36" s="84" t="s">
        <v>43</v>
      </c>
      <c r="E36" s="545"/>
      <c r="F36" s="545"/>
      <c r="G36" s="545"/>
      <c r="H36" s="545"/>
      <c r="I36" s="5"/>
      <c r="J36" s="5"/>
      <c r="K36" s="6" t="s">
        <v>12</v>
      </c>
      <c r="L36" s="6"/>
      <c r="M36" s="6"/>
      <c r="N36" s="6"/>
      <c r="O36" s="6"/>
    </row>
    <row r="37" spans="2:15" ht="12.75">
      <c r="B37" s="7"/>
      <c r="C37" s="7"/>
      <c r="D37" s="7"/>
      <c r="E37" s="5"/>
      <c r="F37" s="5"/>
      <c r="G37" s="5"/>
      <c r="H37" s="5"/>
      <c r="I37" s="5"/>
      <c r="J37" s="5"/>
      <c r="K37" s="5" t="s">
        <v>5</v>
      </c>
      <c r="L37" s="6"/>
      <c r="M37" s="6"/>
      <c r="N37" s="6"/>
      <c r="O37" s="6"/>
    </row>
    <row r="38" spans="2:15" ht="12.75">
      <c r="B38" s="7"/>
      <c r="C38" s="7"/>
      <c r="D38" s="7"/>
      <c r="E38" s="7"/>
      <c r="F38" s="7"/>
      <c r="G38" s="7"/>
      <c r="H38" s="7"/>
      <c r="I38" s="7"/>
      <c r="J38" s="5"/>
      <c r="K38" s="5"/>
      <c r="L38" s="6"/>
      <c r="M38" s="6"/>
      <c r="N38" s="6"/>
      <c r="O38" s="6"/>
    </row>
    <row r="39" spans="2:15" ht="12.75">
      <c r="B39" s="544" t="s">
        <v>44</v>
      </c>
      <c r="C39" s="544"/>
      <c r="D39" s="84" t="s">
        <v>43</v>
      </c>
      <c r="E39" s="545"/>
      <c r="F39" s="545"/>
      <c r="G39" s="545"/>
      <c r="H39" s="545"/>
      <c r="I39" s="5"/>
      <c r="J39" s="5"/>
      <c r="K39" s="5" t="s">
        <v>289</v>
      </c>
      <c r="L39" s="6"/>
      <c r="M39" s="6"/>
      <c r="N39" s="6"/>
      <c r="O39" s="6"/>
    </row>
    <row r="40" spans="2:15" ht="12.75">
      <c r="B40" s="6"/>
      <c r="C40" s="6"/>
      <c r="D40" s="6"/>
      <c r="E40" s="5"/>
      <c r="F40" s="5"/>
      <c r="G40" s="6"/>
      <c r="H40" s="6"/>
      <c r="I40" s="6"/>
      <c r="J40" s="5"/>
      <c r="K40" s="5" t="s">
        <v>5</v>
      </c>
      <c r="L40" s="6"/>
      <c r="M40" s="6"/>
      <c r="N40" s="6"/>
      <c r="O40" s="6"/>
    </row>
    <row r="41" spans="2:15" ht="12.7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</sheetData>
  <sheetProtection/>
  <mergeCells count="14">
    <mergeCell ref="B39:C39"/>
    <mergeCell ref="E39:H39"/>
    <mergeCell ref="M10:N10"/>
    <mergeCell ref="M11:N11"/>
    <mergeCell ref="D32:F32"/>
    <mergeCell ref="M32:N32"/>
    <mergeCell ref="B36:C36"/>
    <mergeCell ref="E36:H36"/>
    <mergeCell ref="B1:O1"/>
    <mergeCell ref="B4:O4"/>
    <mergeCell ref="B5:O5"/>
    <mergeCell ref="B6:O6"/>
    <mergeCell ref="B8:N8"/>
    <mergeCell ref="M9:N9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O21"/>
  <sheetViews>
    <sheetView view="pageBreakPreview" zoomScale="60" zoomScalePageLayoutView="0" workbookViewId="0" topLeftCell="A1">
      <selection activeCell="W38" sqref="W38"/>
    </sheetView>
  </sheetViews>
  <sheetFormatPr defaultColWidth="9.00390625" defaultRowHeight="12.75"/>
  <cols>
    <col min="1" max="1" width="6.125" style="1" customWidth="1"/>
    <col min="2" max="2" width="13.625" style="134" customWidth="1"/>
    <col min="3" max="3" width="16.00390625" style="134" customWidth="1"/>
    <col min="4" max="4" width="7.75390625" style="134" customWidth="1"/>
    <col min="5" max="5" width="1.625" style="134" customWidth="1"/>
    <col min="6" max="6" width="5.00390625" style="134" customWidth="1"/>
    <col min="7" max="7" width="4.125" style="134" customWidth="1"/>
    <col min="8" max="8" width="8.00390625" style="134" customWidth="1"/>
    <col min="9" max="9" width="7.00390625" style="134" customWidth="1"/>
    <col min="10" max="10" width="4.25390625" style="134" customWidth="1"/>
    <col min="11" max="11" width="11.75390625" style="134" customWidth="1"/>
    <col min="12" max="12" width="7.00390625" style="134" customWidth="1"/>
    <col min="13" max="13" width="1.625" style="134" customWidth="1"/>
    <col min="14" max="14" width="11.625" style="134" customWidth="1"/>
    <col min="15" max="15" width="13.875" style="134" customWidth="1"/>
  </cols>
  <sheetData>
    <row r="1" spans="2:15" ht="33.75" customHeight="1">
      <c r="B1" s="510" t="s">
        <v>324</v>
      </c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</row>
    <row r="2" spans="2:15" ht="12.7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2:15" ht="12.75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2:15" ht="12.75">
      <c r="B4" s="511" t="s">
        <v>210</v>
      </c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</row>
    <row r="5" spans="2:15" ht="12.75">
      <c r="B5" s="512" t="s">
        <v>164</v>
      </c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</row>
    <row r="6" spans="2:15" ht="12.75">
      <c r="B6" s="512" t="s">
        <v>211</v>
      </c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</row>
    <row r="7" spans="2:15" ht="13.5" thickBot="1"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 t="s">
        <v>3</v>
      </c>
    </row>
    <row r="8" spans="2:15" ht="13.5" thickBot="1">
      <c r="B8" s="513"/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13"/>
      <c r="N8" s="513"/>
      <c r="O8" s="225">
        <f>M13</f>
        <v>166000</v>
      </c>
    </row>
    <row r="9" spans="2:15" ht="13.5" thickBot="1">
      <c r="B9" s="89" t="s">
        <v>212</v>
      </c>
      <c r="C9" s="90"/>
      <c r="D9" s="339"/>
      <c r="E9" s="101"/>
      <c r="F9" s="101"/>
      <c r="G9" s="90"/>
      <c r="H9" s="90"/>
      <c r="I9" s="90"/>
      <c r="J9" s="90"/>
      <c r="K9" s="340"/>
      <c r="L9" s="340"/>
      <c r="M9" s="638">
        <v>88116</v>
      </c>
      <c r="N9" s="646"/>
      <c r="O9" s="93"/>
    </row>
    <row r="10" spans="2:15" ht="12.75">
      <c r="B10" s="89" t="s">
        <v>213</v>
      </c>
      <c r="C10" s="57"/>
      <c r="D10" s="343"/>
      <c r="E10" s="60"/>
      <c r="F10" s="60"/>
      <c r="G10" s="57"/>
      <c r="H10" s="57"/>
      <c r="I10" s="57"/>
      <c r="J10" s="57"/>
      <c r="K10" s="68"/>
      <c r="L10" s="68"/>
      <c r="M10" s="647">
        <v>77884</v>
      </c>
      <c r="N10" s="648"/>
      <c r="O10" s="94"/>
    </row>
    <row r="11" spans="2:15" ht="12.75">
      <c r="B11" s="55"/>
      <c r="C11" s="57"/>
      <c r="D11" s="343"/>
      <c r="E11" s="60"/>
      <c r="F11" s="60"/>
      <c r="G11" s="57"/>
      <c r="H11" s="57"/>
      <c r="I11" s="57"/>
      <c r="J11" s="57"/>
      <c r="K11" s="68"/>
      <c r="L11" s="68"/>
      <c r="M11" s="647"/>
      <c r="N11" s="648"/>
      <c r="O11" s="94"/>
    </row>
    <row r="12" spans="2:15" ht="12.75">
      <c r="B12" s="51"/>
      <c r="C12" s="52"/>
      <c r="D12" s="127"/>
      <c r="E12" s="62"/>
      <c r="F12" s="62"/>
      <c r="G12" s="52"/>
      <c r="H12" s="52"/>
      <c r="I12" s="52"/>
      <c r="J12" s="52"/>
      <c r="K12" s="341"/>
      <c r="L12" s="341"/>
      <c r="M12" s="636"/>
      <c r="N12" s="655"/>
      <c r="O12" s="94"/>
    </row>
    <row r="13" spans="2:15" ht="13.5" thickBot="1">
      <c r="B13" s="95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634">
        <f>M9+M10+M11+M12</f>
        <v>166000</v>
      </c>
      <c r="N13" s="635"/>
      <c r="O13" s="98"/>
    </row>
    <row r="14" spans="2:15" ht="12.75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2:15" ht="12.75">
      <c r="B15" s="62"/>
      <c r="C15" s="62"/>
      <c r="D15" s="62"/>
      <c r="E15" s="62"/>
      <c r="F15" s="62"/>
      <c r="G15" s="62"/>
      <c r="H15" s="62"/>
      <c r="I15" s="52"/>
      <c r="J15" s="52"/>
      <c r="K15" s="52"/>
      <c r="L15" s="52"/>
      <c r="M15" s="52"/>
      <c r="N15" s="52"/>
      <c r="O15" s="52"/>
    </row>
    <row r="16" spans="2:15" ht="12.75">
      <c r="B16" s="544" t="s">
        <v>42</v>
      </c>
      <c r="C16" s="544"/>
      <c r="D16" s="84" t="s">
        <v>43</v>
      </c>
      <c r="E16" s="545"/>
      <c r="F16" s="545"/>
      <c r="G16" s="545"/>
      <c r="H16" s="545"/>
      <c r="I16" s="5"/>
      <c r="J16" s="5"/>
      <c r="K16" s="6" t="s">
        <v>12</v>
      </c>
      <c r="L16" s="6"/>
      <c r="M16" s="6"/>
      <c r="N16" s="6"/>
      <c r="O16" s="6"/>
    </row>
    <row r="17" spans="2:15" ht="12.75">
      <c r="B17" s="7"/>
      <c r="C17" s="7"/>
      <c r="D17" s="7"/>
      <c r="E17" s="5"/>
      <c r="F17" s="5"/>
      <c r="G17" s="5"/>
      <c r="H17" s="5"/>
      <c r="I17" s="5"/>
      <c r="J17" s="5"/>
      <c r="K17" s="5" t="s">
        <v>5</v>
      </c>
      <c r="L17" s="6"/>
      <c r="M17" s="6"/>
      <c r="N17" s="6"/>
      <c r="O17" s="6"/>
    </row>
    <row r="18" spans="2:15" ht="12.75">
      <c r="B18" s="7"/>
      <c r="C18" s="7"/>
      <c r="D18" s="7"/>
      <c r="E18" s="7"/>
      <c r="F18" s="7"/>
      <c r="G18" s="7"/>
      <c r="H18" s="7"/>
      <c r="I18" s="7"/>
      <c r="J18" s="5"/>
      <c r="K18" s="5"/>
      <c r="L18" s="6"/>
      <c r="M18" s="6"/>
      <c r="N18" s="6"/>
      <c r="O18" s="6"/>
    </row>
    <row r="19" spans="2:15" ht="12.75">
      <c r="B19" s="544" t="s">
        <v>44</v>
      </c>
      <c r="C19" s="544"/>
      <c r="D19" s="84" t="s">
        <v>43</v>
      </c>
      <c r="E19" s="545"/>
      <c r="F19" s="545"/>
      <c r="G19" s="545"/>
      <c r="H19" s="545"/>
      <c r="I19" s="5"/>
      <c r="J19" s="5"/>
      <c r="K19" s="5" t="s">
        <v>289</v>
      </c>
      <c r="L19" s="6"/>
      <c r="M19" s="6"/>
      <c r="N19" s="6"/>
      <c r="O19" s="6"/>
    </row>
    <row r="20" spans="2:15" ht="12.75">
      <c r="B20" s="6"/>
      <c r="C20" s="6"/>
      <c r="D20" s="6"/>
      <c r="E20" s="5"/>
      <c r="F20" s="5"/>
      <c r="G20" s="6"/>
      <c r="H20" s="6"/>
      <c r="I20" s="6"/>
      <c r="J20" s="5"/>
      <c r="K20" s="5" t="s">
        <v>5</v>
      </c>
      <c r="L20" s="6"/>
      <c r="M20" s="6"/>
      <c r="N20" s="6"/>
      <c r="O20" s="6"/>
    </row>
    <row r="21" spans="2:15" ht="12.7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</sheetData>
  <sheetProtection/>
  <mergeCells count="14">
    <mergeCell ref="B1:O1"/>
    <mergeCell ref="B4:O4"/>
    <mergeCell ref="B5:O5"/>
    <mergeCell ref="B6:O6"/>
    <mergeCell ref="B8:N8"/>
    <mergeCell ref="M9:N9"/>
    <mergeCell ref="B19:C19"/>
    <mergeCell ref="E19:H19"/>
    <mergeCell ref="M10:N10"/>
    <mergeCell ref="M11:N11"/>
    <mergeCell ref="M12:N12"/>
    <mergeCell ref="M13:N13"/>
    <mergeCell ref="B16:C16"/>
    <mergeCell ref="E16:H16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O35"/>
  <sheetViews>
    <sheetView view="pageBreakPreview" zoomScaleSheetLayoutView="100" zoomScalePageLayoutView="0" workbookViewId="0" topLeftCell="A1">
      <selection activeCell="S10" sqref="S10:S12"/>
    </sheetView>
  </sheetViews>
  <sheetFormatPr defaultColWidth="9.00390625" defaultRowHeight="12.75"/>
  <cols>
    <col min="1" max="1" width="6.125" style="1" customWidth="1"/>
    <col min="2" max="2" width="13.625" style="134" customWidth="1"/>
    <col min="3" max="3" width="16.00390625" style="134" customWidth="1"/>
    <col min="4" max="4" width="7.75390625" style="134" customWidth="1"/>
    <col min="5" max="5" width="1.625" style="134" customWidth="1"/>
    <col min="6" max="6" width="5.00390625" style="134" customWidth="1"/>
    <col min="7" max="7" width="4.125" style="134" customWidth="1"/>
    <col min="8" max="8" width="8.00390625" style="134" customWidth="1"/>
    <col min="9" max="9" width="7.00390625" style="134" customWidth="1"/>
    <col min="10" max="10" width="4.25390625" style="134" customWidth="1"/>
    <col min="11" max="11" width="11.75390625" style="134" customWidth="1"/>
    <col min="12" max="12" width="7.00390625" style="134" customWidth="1"/>
    <col min="13" max="13" width="1.625" style="134" customWidth="1"/>
    <col min="14" max="14" width="11.625" style="134" customWidth="1"/>
    <col min="15" max="15" width="13.875" style="134" customWidth="1"/>
  </cols>
  <sheetData>
    <row r="1" spans="2:15" ht="15.75">
      <c r="B1" s="510" t="s">
        <v>324</v>
      </c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</row>
    <row r="2" spans="2:15" ht="12.7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2:15" ht="12.75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2:15" ht="12.75">
      <c r="B4" s="511" t="s">
        <v>210</v>
      </c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</row>
    <row r="5" spans="2:15" ht="12.75">
      <c r="B5" s="512" t="s">
        <v>164</v>
      </c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</row>
    <row r="6" spans="2:15" ht="12.75">
      <c r="B6" s="512" t="s">
        <v>214</v>
      </c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</row>
    <row r="7" spans="2:15" ht="13.5" thickBot="1"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 t="s">
        <v>3</v>
      </c>
    </row>
    <row r="8" spans="2:15" ht="13.5" thickBot="1">
      <c r="B8" s="513"/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13"/>
      <c r="N8" s="513"/>
      <c r="O8" s="225">
        <f>M17</f>
        <v>320085.78</v>
      </c>
    </row>
    <row r="9" spans="2:15" ht="12.75">
      <c r="B9" s="89" t="s">
        <v>215</v>
      </c>
      <c r="C9" s="90"/>
      <c r="D9" s="339"/>
      <c r="E9" s="101"/>
      <c r="F9" s="101"/>
      <c r="G9" s="90"/>
      <c r="H9" s="90"/>
      <c r="I9" s="90"/>
      <c r="J9" s="90"/>
      <c r="K9" s="340"/>
      <c r="L9" s="340"/>
      <c r="M9" s="629">
        <v>97200</v>
      </c>
      <c r="N9" s="630"/>
      <c r="O9" s="93"/>
    </row>
    <row r="10" spans="2:15" ht="12.75">
      <c r="B10" s="55" t="s">
        <v>216</v>
      </c>
      <c r="C10" s="57"/>
      <c r="D10" s="343"/>
      <c r="E10" s="60"/>
      <c r="F10" s="60"/>
      <c r="G10" s="57"/>
      <c r="H10" s="57"/>
      <c r="I10" s="57"/>
      <c r="J10" s="57"/>
      <c r="K10" s="68"/>
      <c r="L10" s="68"/>
      <c r="M10" s="633">
        <v>68400</v>
      </c>
      <c r="N10" s="656"/>
      <c r="O10" s="94"/>
    </row>
    <row r="11" spans="2:15" ht="12.75">
      <c r="B11" s="55" t="s">
        <v>217</v>
      </c>
      <c r="C11" s="57"/>
      <c r="D11" s="343"/>
      <c r="E11" s="60"/>
      <c r="F11" s="60"/>
      <c r="G11" s="57"/>
      <c r="H11" s="57"/>
      <c r="I11" s="57"/>
      <c r="J11" s="57"/>
      <c r="K11" s="68"/>
      <c r="L11" s="68"/>
      <c r="M11" s="633">
        <v>19710</v>
      </c>
      <c r="N11" s="656"/>
      <c r="O11" s="94"/>
    </row>
    <row r="12" spans="2:15" ht="12.75">
      <c r="B12" s="118" t="s">
        <v>92</v>
      </c>
      <c r="C12" s="61"/>
      <c r="D12" s="361"/>
      <c r="E12" s="206"/>
      <c r="F12" s="206"/>
      <c r="G12" s="61"/>
      <c r="H12" s="61"/>
      <c r="I12" s="61"/>
      <c r="J12" s="61"/>
      <c r="K12" s="362"/>
      <c r="L12" s="362"/>
      <c r="M12" s="651">
        <f>90-4.22</f>
        <v>85.78</v>
      </c>
      <c r="N12" s="652"/>
      <c r="O12" s="94"/>
    </row>
    <row r="13" spans="2:15" ht="12.75">
      <c r="B13" s="55" t="s">
        <v>243</v>
      </c>
      <c r="C13" s="57"/>
      <c r="D13" s="343"/>
      <c r="E13" s="60"/>
      <c r="F13" s="60"/>
      <c r="G13" s="57"/>
      <c r="H13" s="57"/>
      <c r="I13" s="57"/>
      <c r="J13" s="57"/>
      <c r="K13" s="68"/>
      <c r="L13" s="68"/>
      <c r="M13" s="367"/>
      <c r="N13" s="368"/>
      <c r="O13" s="94"/>
    </row>
    <row r="14" spans="2:15" ht="12.75">
      <c r="B14" s="55" t="s">
        <v>244</v>
      </c>
      <c r="C14" s="57"/>
      <c r="D14" s="343"/>
      <c r="E14" s="60"/>
      <c r="F14" s="60"/>
      <c r="G14" s="57"/>
      <c r="H14" s="57"/>
      <c r="I14" s="57"/>
      <c r="J14" s="57"/>
      <c r="K14" s="68"/>
      <c r="L14" s="68"/>
      <c r="M14" s="367"/>
      <c r="N14" s="368">
        <v>68190</v>
      </c>
      <c r="O14" s="94"/>
    </row>
    <row r="15" spans="2:15" ht="12.75">
      <c r="B15" s="55" t="s">
        <v>245</v>
      </c>
      <c r="C15" s="57"/>
      <c r="D15" s="343"/>
      <c r="E15" s="60"/>
      <c r="F15" s="60"/>
      <c r="G15" s="57"/>
      <c r="H15" s="57"/>
      <c r="I15" s="57"/>
      <c r="J15" s="57"/>
      <c r="K15" s="68"/>
      <c r="L15" s="68"/>
      <c r="M15" s="633"/>
      <c r="N15" s="656"/>
      <c r="O15" s="94"/>
    </row>
    <row r="16" spans="2:15" ht="12.75">
      <c r="B16" s="118" t="s">
        <v>246</v>
      </c>
      <c r="C16" s="52"/>
      <c r="D16" s="127"/>
      <c r="E16" s="62"/>
      <c r="F16" s="62"/>
      <c r="G16" s="52"/>
      <c r="H16" s="52"/>
      <c r="I16" s="52"/>
      <c r="J16" s="52"/>
      <c r="K16" s="341"/>
      <c r="L16" s="341"/>
      <c r="M16" s="371"/>
      <c r="N16" s="372">
        <v>66500</v>
      </c>
      <c r="O16" s="94"/>
    </row>
    <row r="17" spans="2:15" ht="13.5" thickBot="1">
      <c r="B17" s="95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657">
        <f>M9+M10+M11+M12+N14+N16</f>
        <v>320085.78</v>
      </c>
      <c r="N17" s="658"/>
      <c r="O17" s="98"/>
    </row>
    <row r="18" spans="2:15" ht="12.75">
      <c r="B18" s="511" t="s">
        <v>10</v>
      </c>
      <c r="C18" s="511"/>
      <c r="D18" s="511"/>
      <c r="E18" s="511"/>
      <c r="F18" s="511"/>
      <c r="G18" s="511"/>
      <c r="H18" s="511"/>
      <c r="I18" s="511"/>
      <c r="J18" s="511"/>
      <c r="K18" s="511"/>
      <c r="L18" s="511"/>
      <c r="M18" s="511"/>
      <c r="N18" s="511"/>
      <c r="O18" s="511"/>
    </row>
    <row r="19" spans="2:15" ht="12.75">
      <c r="B19" s="512" t="s">
        <v>11</v>
      </c>
      <c r="C19" s="512"/>
      <c r="D19" s="512"/>
      <c r="E19" s="512"/>
      <c r="F19" s="512"/>
      <c r="G19" s="512"/>
      <c r="H19" s="512"/>
      <c r="I19" s="512"/>
      <c r="J19" s="512"/>
      <c r="K19" s="512"/>
      <c r="L19" s="512"/>
      <c r="M19" s="512"/>
      <c r="N19" s="512"/>
      <c r="O19" s="512"/>
    </row>
    <row r="20" spans="2:15" ht="12.75">
      <c r="B20" s="512" t="s">
        <v>214</v>
      </c>
      <c r="C20" s="512"/>
      <c r="D20" s="512"/>
      <c r="E20" s="512"/>
      <c r="F20" s="512"/>
      <c r="G20" s="512"/>
      <c r="H20" s="512"/>
      <c r="I20" s="512"/>
      <c r="J20" s="512"/>
      <c r="K20" s="512"/>
      <c r="L20" s="512"/>
      <c r="M20" s="512"/>
      <c r="N20" s="512"/>
      <c r="O20" s="512"/>
    </row>
    <row r="21" spans="2:15" ht="13.5" thickBot="1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 t="s">
        <v>3</v>
      </c>
    </row>
    <row r="22" spans="2:15" ht="13.5" thickBot="1">
      <c r="B22" s="513"/>
      <c r="C22" s="513"/>
      <c r="D22" s="513"/>
      <c r="E22" s="513"/>
      <c r="F22" s="513"/>
      <c r="G22" s="513"/>
      <c r="H22" s="513"/>
      <c r="I22" s="513"/>
      <c r="J22" s="513"/>
      <c r="K22" s="513"/>
      <c r="L22" s="513"/>
      <c r="M22" s="513"/>
      <c r="N22" s="513"/>
      <c r="O22" s="225">
        <f>M27</f>
        <v>66313</v>
      </c>
    </row>
    <row r="23" spans="2:15" ht="13.5" thickBot="1">
      <c r="B23" s="89" t="s">
        <v>247</v>
      </c>
      <c r="C23" s="90"/>
      <c r="D23" s="339"/>
      <c r="E23" s="101"/>
      <c r="F23" s="101"/>
      <c r="G23" s="90"/>
      <c r="H23" s="90"/>
      <c r="I23" s="90"/>
      <c r="J23" s="90"/>
      <c r="K23" s="340"/>
      <c r="L23" s="340"/>
      <c r="M23" s="638"/>
      <c r="N23" s="646"/>
      <c r="O23" s="93"/>
    </row>
    <row r="24" spans="2:15" ht="13.5" thickBot="1">
      <c r="B24" s="89" t="s">
        <v>248</v>
      </c>
      <c r="C24" s="61"/>
      <c r="D24" s="361"/>
      <c r="E24" s="206"/>
      <c r="F24" s="206"/>
      <c r="G24" s="61"/>
      <c r="H24" s="61"/>
      <c r="I24" s="61"/>
      <c r="J24" s="61"/>
      <c r="K24" s="362"/>
      <c r="L24" s="362"/>
      <c r="M24" s="365"/>
      <c r="N24" s="366">
        <v>14773</v>
      </c>
      <c r="O24" s="94"/>
    </row>
    <row r="25" spans="2:15" ht="13.5" thickBot="1">
      <c r="B25" s="89" t="s">
        <v>249</v>
      </c>
      <c r="C25" s="57"/>
      <c r="D25" s="343"/>
      <c r="E25" s="60"/>
      <c r="F25" s="60"/>
      <c r="G25" s="57"/>
      <c r="H25" s="57"/>
      <c r="I25" s="57"/>
      <c r="J25" s="57"/>
      <c r="K25" s="68"/>
      <c r="L25" s="68"/>
      <c r="M25" s="633"/>
      <c r="N25" s="656"/>
      <c r="O25" s="94"/>
    </row>
    <row r="26" spans="2:15" ht="12.75">
      <c r="B26" s="89" t="s">
        <v>250</v>
      </c>
      <c r="C26" s="49"/>
      <c r="D26" s="363"/>
      <c r="E26" s="46"/>
      <c r="F26" s="46"/>
      <c r="G26" s="49"/>
      <c r="H26" s="49"/>
      <c r="I26" s="49"/>
      <c r="J26" s="49"/>
      <c r="K26" s="364"/>
      <c r="L26" s="364"/>
      <c r="M26" s="369"/>
      <c r="N26" s="370">
        <v>51540</v>
      </c>
      <c r="O26" s="94"/>
    </row>
    <row r="27" spans="2:15" ht="13.5" thickBot="1">
      <c r="B27" s="95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657">
        <f>M23+M25+N24+N26</f>
        <v>66313</v>
      </c>
      <c r="N27" s="658"/>
      <c r="O27" s="98"/>
    </row>
    <row r="28" spans="2:15" ht="12.75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</row>
    <row r="29" spans="2:15" ht="12.75">
      <c r="B29" s="62"/>
      <c r="C29" s="62"/>
      <c r="D29" s="62"/>
      <c r="E29" s="62"/>
      <c r="F29" s="62"/>
      <c r="G29" s="62"/>
      <c r="H29" s="62"/>
      <c r="I29" s="52"/>
      <c r="J29" s="52"/>
      <c r="K29" s="52"/>
      <c r="L29" s="52"/>
      <c r="M29" s="52"/>
      <c r="N29" s="52"/>
      <c r="O29" s="52"/>
    </row>
    <row r="30" spans="2:15" ht="12.75">
      <c r="B30" s="544" t="s">
        <v>42</v>
      </c>
      <c r="C30" s="544"/>
      <c r="D30" s="84" t="s">
        <v>43</v>
      </c>
      <c r="E30" s="545"/>
      <c r="F30" s="545"/>
      <c r="G30" s="545"/>
      <c r="H30" s="545"/>
      <c r="I30" s="5"/>
      <c r="J30" s="5"/>
      <c r="K30" s="6" t="s">
        <v>12</v>
      </c>
      <c r="L30" s="6"/>
      <c r="M30" s="6"/>
      <c r="N30" s="6"/>
      <c r="O30" s="6"/>
    </row>
    <row r="31" spans="2:15" ht="12.75">
      <c r="B31" s="7"/>
      <c r="C31" s="7"/>
      <c r="D31" s="7"/>
      <c r="E31" s="5"/>
      <c r="F31" s="5"/>
      <c r="G31" s="5"/>
      <c r="H31" s="5"/>
      <c r="I31" s="5"/>
      <c r="J31" s="5"/>
      <c r="K31" s="5" t="s">
        <v>5</v>
      </c>
      <c r="L31" s="6"/>
      <c r="M31" s="6"/>
      <c r="N31" s="6"/>
      <c r="O31" s="6"/>
    </row>
    <row r="32" spans="2:15" ht="12.75">
      <c r="B32" s="7"/>
      <c r="C32" s="7"/>
      <c r="D32" s="7"/>
      <c r="E32" s="7"/>
      <c r="F32" s="7"/>
      <c r="G32" s="7"/>
      <c r="H32" s="7"/>
      <c r="I32" s="7"/>
      <c r="J32" s="5"/>
      <c r="K32" s="5"/>
      <c r="L32" s="6"/>
      <c r="M32" s="6"/>
      <c r="N32" s="6"/>
      <c r="O32" s="6"/>
    </row>
    <row r="33" spans="2:15" ht="12.75">
      <c r="B33" s="544" t="s">
        <v>44</v>
      </c>
      <c r="C33" s="544"/>
      <c r="D33" s="84" t="s">
        <v>43</v>
      </c>
      <c r="E33" s="545"/>
      <c r="F33" s="545"/>
      <c r="G33" s="545"/>
      <c r="H33" s="545"/>
      <c r="I33" s="5"/>
      <c r="J33" s="5"/>
      <c r="K33" s="5" t="s">
        <v>289</v>
      </c>
      <c r="L33" s="6"/>
      <c r="M33" s="6"/>
      <c r="N33" s="6"/>
      <c r="O33" s="6"/>
    </row>
    <row r="34" spans="2:15" ht="12.75">
      <c r="B34" s="6"/>
      <c r="C34" s="6"/>
      <c r="D34" s="6"/>
      <c r="E34" s="5"/>
      <c r="F34" s="5"/>
      <c r="G34" s="6"/>
      <c r="H34" s="6"/>
      <c r="I34" s="6"/>
      <c r="J34" s="5"/>
      <c r="K34" s="5" t="s">
        <v>5</v>
      </c>
      <c r="L34" s="6"/>
      <c r="M34" s="6"/>
      <c r="N34" s="6"/>
      <c r="O34" s="6"/>
    </row>
    <row r="35" spans="2:15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</sheetData>
  <sheetProtection/>
  <mergeCells count="22">
    <mergeCell ref="B19:O19"/>
    <mergeCell ref="B20:O20"/>
    <mergeCell ref="B22:N22"/>
    <mergeCell ref="M23:N23"/>
    <mergeCell ref="M25:N25"/>
    <mergeCell ref="M27:N27"/>
    <mergeCell ref="B1:O1"/>
    <mergeCell ref="B4:O4"/>
    <mergeCell ref="B5:O5"/>
    <mergeCell ref="B6:O6"/>
    <mergeCell ref="B8:N8"/>
    <mergeCell ref="M9:N9"/>
    <mergeCell ref="B33:C33"/>
    <mergeCell ref="E33:H33"/>
    <mergeCell ref="M10:N10"/>
    <mergeCell ref="M11:N11"/>
    <mergeCell ref="M12:N12"/>
    <mergeCell ref="M17:N17"/>
    <mergeCell ref="B30:C30"/>
    <mergeCell ref="E30:H30"/>
    <mergeCell ref="M15:N15"/>
    <mergeCell ref="B18:O18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O19"/>
  <sheetViews>
    <sheetView view="pageBreakPreview" zoomScaleSheetLayoutView="100" zoomScalePageLayoutView="0" workbookViewId="0" topLeftCell="B1">
      <selection activeCell="U20" sqref="U20"/>
    </sheetView>
  </sheetViews>
  <sheetFormatPr defaultColWidth="9.00390625" defaultRowHeight="12.75"/>
  <cols>
    <col min="1" max="1" width="6.125" style="1" customWidth="1"/>
    <col min="2" max="2" width="13.625" style="134" customWidth="1"/>
    <col min="3" max="3" width="16.00390625" style="134" customWidth="1"/>
    <col min="4" max="4" width="7.75390625" style="134" customWidth="1"/>
    <col min="5" max="5" width="1.625" style="134" customWidth="1"/>
    <col min="6" max="6" width="5.00390625" style="134" customWidth="1"/>
    <col min="7" max="7" width="4.125" style="134" customWidth="1"/>
    <col min="8" max="8" width="8.00390625" style="134" customWidth="1"/>
    <col min="9" max="9" width="7.00390625" style="134" customWidth="1"/>
    <col min="10" max="10" width="4.25390625" style="134" customWidth="1"/>
    <col min="11" max="11" width="11.75390625" style="134" customWidth="1"/>
    <col min="12" max="12" width="9.25390625" style="134" customWidth="1"/>
    <col min="13" max="13" width="1.625" style="134" customWidth="1"/>
    <col min="14" max="14" width="11.625" style="134" customWidth="1"/>
    <col min="15" max="15" width="13.875" style="134" customWidth="1"/>
  </cols>
  <sheetData>
    <row r="1" spans="2:15" ht="33.75" customHeight="1">
      <c r="B1" s="510" t="s">
        <v>324</v>
      </c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</row>
    <row r="2" spans="2:15" ht="12.7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2:15" ht="12.75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2:15" ht="12.75">
      <c r="B4" s="511" t="s">
        <v>45</v>
      </c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</row>
    <row r="5" spans="2:15" ht="12.75">
      <c r="B5" s="512" t="s">
        <v>56</v>
      </c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</row>
    <row r="6" spans="2:15" ht="12.75">
      <c r="B6" s="512" t="s">
        <v>242</v>
      </c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</row>
    <row r="7" spans="2:15" ht="13.5" thickBot="1"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 t="s">
        <v>3</v>
      </c>
    </row>
    <row r="8" spans="2:15" ht="13.5" thickBot="1">
      <c r="B8" s="513"/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13"/>
      <c r="N8" s="513"/>
      <c r="O8" s="225">
        <f>M11</f>
        <v>0</v>
      </c>
    </row>
    <row r="9" spans="2:15" ht="13.5" thickBot="1">
      <c r="B9" s="89"/>
      <c r="C9" s="90"/>
      <c r="D9" s="339"/>
      <c r="E9" s="101"/>
      <c r="F9" s="101"/>
      <c r="G9" s="90"/>
      <c r="H9" s="90"/>
      <c r="I9" s="90"/>
      <c r="J9" s="90"/>
      <c r="K9" s="340"/>
      <c r="L9" s="340"/>
      <c r="M9" s="638"/>
      <c r="N9" s="646"/>
      <c r="O9" s="93"/>
    </row>
    <row r="10" spans="2:15" ht="12.75">
      <c r="B10" s="89"/>
      <c r="C10" s="57"/>
      <c r="D10" s="343"/>
      <c r="E10" s="60"/>
      <c r="F10" s="60"/>
      <c r="G10" s="57"/>
      <c r="H10" s="57"/>
      <c r="I10" s="57"/>
      <c r="J10" s="57"/>
      <c r="K10" s="68"/>
      <c r="L10" s="68"/>
      <c r="M10" s="647"/>
      <c r="N10" s="648"/>
      <c r="O10" s="94"/>
    </row>
    <row r="11" spans="2:15" ht="13.5" thickBot="1">
      <c r="B11" s="95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634">
        <f>M9+M10</f>
        <v>0</v>
      </c>
      <c r="N11" s="635"/>
      <c r="O11" s="98"/>
    </row>
    <row r="12" spans="2:15" ht="12.75"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2:15" ht="12.75">
      <c r="B13" s="62"/>
      <c r="C13" s="62"/>
      <c r="D13" s="62"/>
      <c r="E13" s="62"/>
      <c r="F13" s="62"/>
      <c r="G13" s="62"/>
      <c r="H13" s="62"/>
      <c r="I13" s="52"/>
      <c r="J13" s="52"/>
      <c r="K13" s="52"/>
      <c r="L13" s="52"/>
      <c r="M13" s="52"/>
      <c r="N13" s="52"/>
      <c r="O13" s="52"/>
    </row>
    <row r="14" spans="2:15" ht="12.75">
      <c r="B14" s="544" t="s">
        <v>42</v>
      </c>
      <c r="C14" s="544"/>
      <c r="D14" s="84" t="s">
        <v>43</v>
      </c>
      <c r="E14" s="545"/>
      <c r="F14" s="545"/>
      <c r="G14" s="545"/>
      <c r="H14" s="545"/>
      <c r="I14" s="5"/>
      <c r="J14" s="5"/>
      <c r="K14" s="6" t="s">
        <v>12</v>
      </c>
      <c r="L14" s="6"/>
      <c r="M14" s="6"/>
      <c r="N14" s="6"/>
      <c r="O14" s="6"/>
    </row>
    <row r="15" spans="2:15" ht="12.75">
      <c r="B15" s="7"/>
      <c r="C15" s="7"/>
      <c r="D15" s="7"/>
      <c r="E15" s="5"/>
      <c r="F15" s="5"/>
      <c r="G15" s="5"/>
      <c r="H15" s="5"/>
      <c r="I15" s="5"/>
      <c r="J15" s="5"/>
      <c r="K15" s="5" t="s">
        <v>5</v>
      </c>
      <c r="L15" s="6"/>
      <c r="M15" s="6"/>
      <c r="N15" s="6"/>
      <c r="O15" s="6"/>
    </row>
    <row r="16" spans="2:15" ht="12.75">
      <c r="B16" s="7"/>
      <c r="C16" s="7"/>
      <c r="D16" s="7"/>
      <c r="E16" s="7"/>
      <c r="F16" s="7"/>
      <c r="G16" s="7"/>
      <c r="H16" s="7"/>
      <c r="I16" s="7"/>
      <c r="J16" s="5"/>
      <c r="K16" s="5"/>
      <c r="L16" s="6"/>
      <c r="M16" s="6"/>
      <c r="N16" s="6"/>
      <c r="O16" s="6"/>
    </row>
    <row r="17" spans="2:15" ht="12.75">
      <c r="B17" s="544" t="s">
        <v>44</v>
      </c>
      <c r="C17" s="544"/>
      <c r="D17" s="84" t="s">
        <v>43</v>
      </c>
      <c r="E17" s="545"/>
      <c r="F17" s="545"/>
      <c r="G17" s="545"/>
      <c r="H17" s="545"/>
      <c r="I17" s="5"/>
      <c r="J17" s="5"/>
      <c r="K17" s="5" t="s">
        <v>289</v>
      </c>
      <c r="L17" s="6"/>
      <c r="M17" s="6"/>
      <c r="N17" s="6"/>
      <c r="O17" s="6"/>
    </row>
    <row r="18" spans="2:15" ht="12.75">
      <c r="B18" s="6"/>
      <c r="C18" s="6"/>
      <c r="D18" s="6"/>
      <c r="E18" s="5"/>
      <c r="F18" s="5"/>
      <c r="G18" s="6"/>
      <c r="H18" s="6"/>
      <c r="I18" s="6"/>
      <c r="J18" s="5"/>
      <c r="K18" s="5" t="s">
        <v>5</v>
      </c>
      <c r="L18" s="6"/>
      <c r="M18" s="6"/>
      <c r="N18" s="6"/>
      <c r="O18" s="6"/>
    </row>
    <row r="19" spans="2:15" ht="12.7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</sheetData>
  <sheetProtection/>
  <mergeCells count="12">
    <mergeCell ref="M10:N10"/>
    <mergeCell ref="M11:N11"/>
    <mergeCell ref="B14:C14"/>
    <mergeCell ref="E14:H14"/>
    <mergeCell ref="B17:C17"/>
    <mergeCell ref="E17:H17"/>
    <mergeCell ref="B1:O1"/>
    <mergeCell ref="B4:O4"/>
    <mergeCell ref="B5:O5"/>
    <mergeCell ref="B6:O6"/>
    <mergeCell ref="B8:N8"/>
    <mergeCell ref="M9:N9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29"/>
  <sheetViews>
    <sheetView view="pageBreakPreview" zoomScaleSheetLayoutView="100" zoomScalePageLayoutView="0" workbookViewId="0" topLeftCell="A1">
      <selection activeCell="U13" sqref="U13"/>
    </sheetView>
  </sheetViews>
  <sheetFormatPr defaultColWidth="9.00390625" defaultRowHeight="12.75"/>
  <cols>
    <col min="1" max="1" width="15.125" style="156" customWidth="1"/>
    <col min="2" max="2" width="11.00390625" style="156" customWidth="1"/>
    <col min="3" max="3" width="11.25390625" style="156" customWidth="1"/>
    <col min="4" max="4" width="2.125" style="156" customWidth="1"/>
    <col min="5" max="5" width="8.875" style="156" hidden="1" customWidth="1"/>
    <col min="6" max="6" width="3.375" style="156" customWidth="1"/>
    <col min="7" max="7" width="3.75390625" style="156" customWidth="1"/>
    <col min="8" max="8" width="5.25390625" style="156" customWidth="1"/>
    <col min="9" max="9" width="1.625" style="156" customWidth="1"/>
    <col min="10" max="10" width="9.125" style="156" customWidth="1"/>
    <col min="11" max="11" width="3.00390625" style="156" customWidth="1"/>
    <col min="12" max="12" width="9.125" style="156" customWidth="1"/>
    <col min="13" max="13" width="7.125" style="156" customWidth="1"/>
    <col min="14" max="14" width="14.375" style="156" customWidth="1"/>
    <col min="15" max="16384" width="9.125" style="156" customWidth="1"/>
  </cols>
  <sheetData>
    <row r="2" spans="1:14" ht="25.5" customHeight="1">
      <c r="A2" s="506" t="s">
        <v>327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</row>
    <row r="3" spans="1:8" ht="12.75">
      <c r="A3" s="165"/>
      <c r="B3" s="165"/>
      <c r="C3" s="165"/>
      <c r="D3" s="165"/>
      <c r="E3" s="165"/>
      <c r="F3" s="165"/>
      <c r="G3" s="165"/>
      <c r="H3" s="165"/>
    </row>
    <row r="4" spans="1:14" ht="16.5" thickBot="1">
      <c r="A4" s="659" t="s">
        <v>59</v>
      </c>
      <c r="B4" s="659"/>
      <c r="C4" s="659"/>
      <c r="D4" s="659"/>
      <c r="E4" s="659"/>
      <c r="F4" s="659"/>
      <c r="G4" s="659"/>
      <c r="H4" s="659"/>
      <c r="I4" s="659"/>
      <c r="J4" s="659"/>
      <c r="K4" s="659"/>
      <c r="L4" s="659"/>
      <c r="M4" s="659"/>
      <c r="N4" s="659"/>
    </row>
    <row r="5" spans="1:14" ht="14.25" thickBot="1">
      <c r="A5" s="286"/>
      <c r="B5" s="286"/>
      <c r="C5" s="287"/>
      <c r="D5" s="287"/>
      <c r="E5" s="287"/>
      <c r="F5" s="286"/>
      <c r="G5" s="286"/>
      <c r="H5" s="286"/>
      <c r="I5" s="288"/>
      <c r="J5" s="660"/>
      <c r="K5" s="660"/>
      <c r="L5" s="660"/>
      <c r="M5" s="660"/>
      <c r="N5" s="290">
        <f>N6+N7+N8+N9</f>
        <v>15438174.25</v>
      </c>
    </row>
    <row r="6" spans="1:14" ht="12.75">
      <c r="A6" s="291" t="s">
        <v>60</v>
      </c>
      <c r="B6" s="292"/>
      <c r="C6" s="293"/>
      <c r="D6" s="293"/>
      <c r="E6" s="293"/>
      <c r="F6" s="292"/>
      <c r="G6" s="292"/>
      <c r="H6" s="292"/>
      <c r="I6" s="294"/>
      <c r="J6" s="295"/>
      <c r="K6" s="295"/>
      <c r="L6" s="295"/>
      <c r="M6" s="295"/>
      <c r="N6" s="296">
        <f>'родит.плата'!G18+'родит.плата'!G7</f>
        <v>12728040</v>
      </c>
    </row>
    <row r="7" spans="1:14" ht="12.75">
      <c r="A7" s="297" t="s">
        <v>167</v>
      </c>
      <c r="B7" s="286"/>
      <c r="C7" s="287"/>
      <c r="D7" s="287"/>
      <c r="E7" s="287"/>
      <c r="F7" s="286"/>
      <c r="G7" s="286"/>
      <c r="H7" s="286"/>
      <c r="I7" s="288"/>
      <c r="J7" s="289"/>
      <c r="K7" s="289"/>
      <c r="L7" s="289"/>
      <c r="M7" s="289"/>
      <c r="N7" s="298">
        <f>'питание сотрудников'!H6</f>
        <v>747138.9</v>
      </c>
    </row>
    <row r="8" spans="1:14" ht="12.75">
      <c r="A8" s="297" t="s">
        <v>61</v>
      </c>
      <c r="B8" s="286"/>
      <c r="C8" s="287"/>
      <c r="D8" s="287"/>
      <c r="E8" s="287"/>
      <c r="F8" s="286"/>
      <c r="G8" s="286"/>
      <c r="H8" s="286"/>
      <c r="I8" s="288"/>
      <c r="J8" s="289"/>
      <c r="K8" s="289"/>
      <c r="L8" s="289"/>
      <c r="M8" s="289"/>
      <c r="N8" s="407">
        <f>'платные (12.08.2016)'!N5</f>
        <v>1951200</v>
      </c>
    </row>
    <row r="9" spans="1:14" ht="13.5" thickBot="1">
      <c r="A9" s="299" t="s">
        <v>303</v>
      </c>
      <c r="B9" s="300"/>
      <c r="C9" s="301"/>
      <c r="D9" s="301"/>
      <c r="E9" s="301"/>
      <c r="F9" s="300"/>
      <c r="G9" s="300"/>
      <c r="H9" s="300"/>
      <c r="I9" s="302"/>
      <c r="J9" s="303"/>
      <c r="K9" s="303"/>
      <c r="L9" s="303"/>
      <c r="M9" s="303"/>
      <c r="N9" s="304">
        <f>коммуналка!N7</f>
        <v>11795.35</v>
      </c>
    </row>
    <row r="10" spans="1:15" ht="12.75">
      <c r="A10" s="297"/>
      <c r="B10" s="286"/>
      <c r="C10" s="287"/>
      <c r="D10" s="287"/>
      <c r="E10" s="287"/>
      <c r="F10" s="286"/>
      <c r="G10" s="286"/>
      <c r="H10" s="286"/>
      <c r="I10" s="288"/>
      <c r="J10" s="289"/>
      <c r="K10" s="289"/>
      <c r="L10" s="289"/>
      <c r="M10" s="289"/>
      <c r="N10" s="286"/>
      <c r="O10" s="184"/>
    </row>
    <row r="11" spans="1:14" ht="15.75">
      <c r="A11" s="659" t="s">
        <v>62</v>
      </c>
      <c r="B11" s="659"/>
      <c r="C11" s="659"/>
      <c r="D11" s="659"/>
      <c r="E11" s="659"/>
      <c r="F11" s="659"/>
      <c r="G11" s="659"/>
      <c r="H11" s="659"/>
      <c r="I11" s="659"/>
      <c r="J11" s="659"/>
      <c r="K11" s="659"/>
      <c r="L11" s="659"/>
      <c r="M11" s="659"/>
      <c r="N11" s="659"/>
    </row>
    <row r="12" spans="1:14" ht="13.5" thickBot="1">
      <c r="A12" s="305"/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</row>
    <row r="13" spans="1:15" ht="14.25" thickBot="1">
      <c r="A13" s="661"/>
      <c r="B13" s="661"/>
      <c r="C13" s="661"/>
      <c r="D13" s="661"/>
      <c r="E13" s="661"/>
      <c r="F13" s="661"/>
      <c r="G13" s="661"/>
      <c r="H13" s="661"/>
      <c r="I13" s="661"/>
      <c r="J13" s="661"/>
      <c r="K13" s="661"/>
      <c r="L13" s="661"/>
      <c r="M13" s="661"/>
      <c r="N13" s="306">
        <f>SUM(N14:N23)</f>
        <v>15438174.25</v>
      </c>
      <c r="O13" s="432"/>
    </row>
    <row r="14" spans="1:14" ht="15.75" thickBot="1">
      <c r="A14" s="662" t="s">
        <v>63</v>
      </c>
      <c r="B14" s="663"/>
      <c r="C14" s="664"/>
      <c r="D14" s="664"/>
      <c r="E14" s="664"/>
      <c r="F14" s="307"/>
      <c r="G14" s="307"/>
      <c r="H14" s="307"/>
      <c r="I14" s="307"/>
      <c r="J14" s="308"/>
      <c r="K14" s="309"/>
      <c r="L14" s="665"/>
      <c r="M14" s="666"/>
      <c r="N14" s="296">
        <f>'платные (12.08.2016)'!N47</f>
        <v>1049032.26</v>
      </c>
    </row>
    <row r="15" spans="1:14" ht="15.75" thickBot="1">
      <c r="A15" s="310" t="s">
        <v>64</v>
      </c>
      <c r="B15" s="311"/>
      <c r="C15" s="312"/>
      <c r="D15" s="312"/>
      <c r="E15" s="312"/>
      <c r="F15" s="313"/>
      <c r="G15" s="313"/>
      <c r="H15" s="313"/>
      <c r="I15" s="307"/>
      <c r="J15" s="314"/>
      <c r="K15" s="315"/>
      <c r="L15" s="316"/>
      <c r="M15" s="317"/>
      <c r="N15" s="298">
        <f>'платные (12.08.2016)'!N77</f>
        <v>316807.74</v>
      </c>
    </row>
    <row r="16" spans="1:14" ht="15.75" thickBot="1">
      <c r="A16" s="318" t="s">
        <v>65</v>
      </c>
      <c r="B16" s="319"/>
      <c r="C16" s="320"/>
      <c r="D16" s="320"/>
      <c r="E16" s="320"/>
      <c r="F16" s="313"/>
      <c r="G16" s="313"/>
      <c r="H16" s="313"/>
      <c r="I16" s="307"/>
      <c r="J16" s="314"/>
      <c r="K16" s="315"/>
      <c r="L16" s="321"/>
      <c r="M16" s="322"/>
      <c r="N16" s="298">
        <f>'платные (12.08.2016)'!N83</f>
        <v>123882.42000000001</v>
      </c>
    </row>
    <row r="17" spans="1:14" ht="15.75" thickBot="1">
      <c r="A17" s="318" t="s">
        <v>66</v>
      </c>
      <c r="B17" s="319"/>
      <c r="C17" s="320"/>
      <c r="D17" s="320"/>
      <c r="E17" s="320"/>
      <c r="F17" s="313"/>
      <c r="G17" s="313"/>
      <c r="H17" s="313"/>
      <c r="I17" s="307"/>
      <c r="J17" s="314"/>
      <c r="K17" s="315"/>
      <c r="L17" s="321"/>
      <c r="M17" s="322"/>
      <c r="N17" s="298">
        <f>'платные (12.08.2016)'!N108</f>
        <v>76264</v>
      </c>
    </row>
    <row r="18" spans="1:14" ht="15.75" thickBot="1">
      <c r="A18" s="318" t="s">
        <v>326</v>
      </c>
      <c r="B18" s="319"/>
      <c r="C18" s="320"/>
      <c r="D18" s="320"/>
      <c r="E18" s="320"/>
      <c r="F18" s="313"/>
      <c r="G18" s="313"/>
      <c r="H18" s="313"/>
      <c r="I18" s="307"/>
      <c r="J18" s="314"/>
      <c r="K18" s="315"/>
      <c r="L18" s="321"/>
      <c r="M18" s="322"/>
      <c r="N18" s="298">
        <f>'платные (12.08.2016)'!N131</f>
        <v>3500</v>
      </c>
    </row>
    <row r="19" spans="1:14" ht="15.75" thickBot="1">
      <c r="A19" s="323" t="s">
        <v>67</v>
      </c>
      <c r="B19" s="319"/>
      <c r="C19" s="320"/>
      <c r="D19" s="320"/>
      <c r="E19" s="320"/>
      <c r="F19" s="313"/>
      <c r="G19" s="313"/>
      <c r="H19" s="313"/>
      <c r="I19" s="307"/>
      <c r="J19" s="314"/>
      <c r="K19" s="315"/>
      <c r="L19" s="321"/>
      <c r="M19" s="322"/>
      <c r="N19" s="298">
        <f>'платные (12.08.2016)'!N138</f>
        <v>238713.58000000002</v>
      </c>
    </row>
    <row r="20" spans="1:14" ht="15">
      <c r="A20" s="324" t="s">
        <v>68</v>
      </c>
      <c r="B20" s="319"/>
      <c r="C20" s="320"/>
      <c r="D20" s="320"/>
      <c r="E20" s="320"/>
      <c r="F20" s="313"/>
      <c r="G20" s="313"/>
      <c r="H20" s="313"/>
      <c r="I20" s="307"/>
      <c r="J20" s="314"/>
      <c r="K20" s="315"/>
      <c r="L20" s="321"/>
      <c r="M20" s="322"/>
      <c r="N20" s="298">
        <f>'платные (12.08.2016)'!N147</f>
        <v>143000</v>
      </c>
    </row>
    <row r="21" spans="1:14" ht="15">
      <c r="A21" s="325" t="s">
        <v>88</v>
      </c>
      <c r="B21" s="311"/>
      <c r="C21" s="668"/>
      <c r="D21" s="668"/>
      <c r="E21" s="668"/>
      <c r="F21" s="313"/>
      <c r="G21" s="313"/>
      <c r="H21" s="313"/>
      <c r="I21" s="313"/>
      <c r="J21" s="314"/>
      <c r="K21" s="326"/>
      <c r="L21" s="669"/>
      <c r="M21" s="670"/>
      <c r="N21" s="298">
        <f>'родит.плата'!H25</f>
        <v>12728040</v>
      </c>
    </row>
    <row r="22" spans="1:14" ht="15">
      <c r="A22" s="325" t="s">
        <v>167</v>
      </c>
      <c r="B22" s="311"/>
      <c r="C22" s="320"/>
      <c r="D22" s="320"/>
      <c r="E22" s="320"/>
      <c r="F22" s="313"/>
      <c r="G22" s="313"/>
      <c r="H22" s="313"/>
      <c r="I22" s="313"/>
      <c r="J22" s="314"/>
      <c r="K22" s="326"/>
      <c r="L22" s="390"/>
      <c r="M22" s="391"/>
      <c r="N22" s="298">
        <f>'питание сотрудников'!H14</f>
        <v>747138.9</v>
      </c>
    </row>
    <row r="23" spans="1:14" ht="13.5" thickBot="1">
      <c r="A23" s="354" t="s">
        <v>303</v>
      </c>
      <c r="B23" s="355"/>
      <c r="C23" s="283"/>
      <c r="D23" s="283"/>
      <c r="E23" s="283"/>
      <c r="F23" s="283"/>
      <c r="G23" s="283"/>
      <c r="H23" s="283"/>
      <c r="I23" s="284"/>
      <c r="J23" s="284"/>
      <c r="K23" s="284"/>
      <c r="L23" s="284"/>
      <c r="M23" s="285"/>
      <c r="N23" s="282">
        <f>коммуналка!N16</f>
        <v>11795.35</v>
      </c>
    </row>
    <row r="25" spans="1:9" ht="12.75">
      <c r="A25" s="667" t="s">
        <v>69</v>
      </c>
      <c r="B25" s="667"/>
      <c r="C25" s="327" t="s">
        <v>43</v>
      </c>
      <c r="D25" s="328" t="s">
        <v>70</v>
      </c>
      <c r="E25" s="328"/>
      <c r="F25" s="327"/>
      <c r="G25" s="327"/>
      <c r="H25" s="327"/>
      <c r="I25" s="327"/>
    </row>
    <row r="26" spans="4:5" ht="12.75">
      <c r="D26" s="327" t="s">
        <v>5</v>
      </c>
      <c r="E26" s="327"/>
    </row>
    <row r="28" spans="1:9" ht="12.75">
      <c r="A28" s="667" t="s">
        <v>71</v>
      </c>
      <c r="B28" s="667"/>
      <c r="C28" s="327" t="s">
        <v>43</v>
      </c>
      <c r="D28" s="328" t="s">
        <v>161</v>
      </c>
      <c r="E28" s="328"/>
      <c r="F28" s="327"/>
      <c r="G28" s="327"/>
      <c r="H28" s="327"/>
      <c r="I28" s="327"/>
    </row>
    <row r="29" spans="4:5" ht="12.75">
      <c r="D29" s="327" t="s">
        <v>5</v>
      </c>
      <c r="E29" s="327"/>
    </row>
  </sheetData>
  <sheetProtection/>
  <mergeCells count="12">
    <mergeCell ref="A28:B28"/>
    <mergeCell ref="C21:E21"/>
    <mergeCell ref="L21:M21"/>
    <mergeCell ref="A25:B25"/>
    <mergeCell ref="A2:N2"/>
    <mergeCell ref="A4:N4"/>
    <mergeCell ref="J5:M5"/>
    <mergeCell ref="A11:N11"/>
    <mergeCell ref="A13:M13"/>
    <mergeCell ref="A14:B14"/>
    <mergeCell ref="C14:E14"/>
    <mergeCell ref="L14:M14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169"/>
  <sheetViews>
    <sheetView view="pageBreakPreview" zoomScaleSheetLayoutView="100" zoomScalePageLayoutView="0" workbookViewId="0" topLeftCell="A116">
      <selection activeCell="S137" sqref="S137"/>
    </sheetView>
  </sheetViews>
  <sheetFormatPr defaultColWidth="9.00390625" defaultRowHeight="12.75"/>
  <cols>
    <col min="1" max="1" width="15.125" style="156" customWidth="1"/>
    <col min="2" max="2" width="12.25390625" style="156" customWidth="1"/>
    <col min="3" max="3" width="11.25390625" style="156" customWidth="1"/>
    <col min="4" max="4" width="2.125" style="156" customWidth="1"/>
    <col min="5" max="5" width="8.875" style="156" hidden="1" customWidth="1"/>
    <col min="6" max="6" width="3.375" style="156" customWidth="1"/>
    <col min="7" max="7" width="8.25390625" style="156" customWidth="1"/>
    <col min="8" max="8" width="5.25390625" style="156" customWidth="1"/>
    <col min="9" max="9" width="1.625" style="156" customWidth="1"/>
    <col min="10" max="10" width="9.125" style="156" customWidth="1"/>
    <col min="11" max="11" width="3.00390625" style="156" customWidth="1"/>
    <col min="12" max="12" width="9.125" style="156" customWidth="1"/>
    <col min="13" max="13" width="10.375" style="156" customWidth="1"/>
    <col min="14" max="14" width="14.375" style="156" customWidth="1"/>
    <col min="15" max="15" width="12.75390625" style="0" customWidth="1"/>
  </cols>
  <sheetData>
    <row r="2" spans="1:14" ht="26.25" customHeight="1">
      <c r="A2" s="671" t="s">
        <v>324</v>
      </c>
      <c r="B2" s="671"/>
      <c r="C2" s="671"/>
      <c r="D2" s="671"/>
      <c r="E2" s="671"/>
      <c r="F2" s="671"/>
      <c r="G2" s="671"/>
      <c r="H2" s="671"/>
      <c r="I2" s="671"/>
      <c r="J2" s="671"/>
      <c r="K2" s="671"/>
      <c r="L2" s="671"/>
      <c r="M2" s="671"/>
      <c r="N2" s="671"/>
    </row>
    <row r="3" spans="1:8" ht="12.75">
      <c r="A3" s="165"/>
      <c r="B3" s="165"/>
      <c r="C3" s="165"/>
      <c r="D3" s="165"/>
      <c r="E3" s="165"/>
      <c r="F3" s="165"/>
      <c r="G3" s="165"/>
      <c r="H3" s="165"/>
    </row>
    <row r="4" spans="1:14" ht="16.5" thickBot="1">
      <c r="A4" s="672" t="s">
        <v>59</v>
      </c>
      <c r="B4" s="672"/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</row>
    <row r="5" spans="1:14" ht="18.75" thickBot="1">
      <c r="A5" s="673" t="s">
        <v>73</v>
      </c>
      <c r="B5" s="673"/>
      <c r="C5" s="673"/>
      <c r="D5" s="673"/>
      <c r="E5" s="673"/>
      <c r="F5" s="673"/>
      <c r="G5" s="673"/>
      <c r="H5" s="673"/>
      <c r="I5" s="673"/>
      <c r="J5" s="673"/>
      <c r="K5" s="673"/>
      <c r="L5" s="673"/>
      <c r="M5" s="673"/>
      <c r="N5" s="228">
        <f>SUM(N6:N41)</f>
        <v>1951200</v>
      </c>
    </row>
    <row r="6" spans="1:14" ht="15.75">
      <c r="A6" s="674" t="s">
        <v>74</v>
      </c>
      <c r="B6" s="675"/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213"/>
    </row>
    <row r="7" spans="1:14" ht="15.75">
      <c r="A7" s="676" t="s">
        <v>118</v>
      </c>
      <c r="B7" s="677"/>
      <c r="C7" s="677"/>
      <c r="D7" s="677"/>
      <c r="E7" s="677"/>
      <c r="F7" s="677"/>
      <c r="G7" s="677"/>
      <c r="H7" s="677"/>
      <c r="I7" s="677"/>
      <c r="J7" s="677"/>
      <c r="K7" s="677"/>
      <c r="L7" s="677"/>
      <c r="M7" s="677"/>
      <c r="N7" s="214">
        <f>40*80*8*9</f>
        <v>230400</v>
      </c>
    </row>
    <row r="8" spans="1:14" ht="15.75">
      <c r="A8" s="678" t="s">
        <v>117</v>
      </c>
      <c r="B8" s="679"/>
      <c r="C8" s="679"/>
      <c r="D8" s="679"/>
      <c r="E8" s="679"/>
      <c r="F8" s="679"/>
      <c r="G8" s="679"/>
      <c r="H8" s="679"/>
      <c r="I8" s="679"/>
      <c r="J8" s="679"/>
      <c r="K8" s="679"/>
      <c r="L8" s="679"/>
      <c r="M8" s="679"/>
      <c r="N8" s="214"/>
    </row>
    <row r="9" spans="1:14" ht="15.75">
      <c r="A9" s="676" t="s">
        <v>119</v>
      </c>
      <c r="B9" s="677"/>
      <c r="C9" s="677"/>
      <c r="D9" s="677"/>
      <c r="E9" s="677"/>
      <c r="F9" s="677"/>
      <c r="G9" s="677"/>
      <c r="H9" s="677"/>
      <c r="I9" s="677"/>
      <c r="J9" s="677"/>
      <c r="K9" s="677"/>
      <c r="L9" s="677"/>
      <c r="M9" s="677"/>
      <c r="N9" s="214">
        <f>10*70*8*9</f>
        <v>50400</v>
      </c>
    </row>
    <row r="10" spans="1:14" ht="15.75">
      <c r="A10" s="676" t="s">
        <v>75</v>
      </c>
      <c r="B10" s="677"/>
      <c r="C10" s="677"/>
      <c r="D10" s="677"/>
      <c r="E10" s="677"/>
      <c r="F10" s="677"/>
      <c r="G10" s="677"/>
      <c r="H10" s="677"/>
      <c r="I10" s="677"/>
      <c r="J10" s="677"/>
      <c r="K10" s="677"/>
      <c r="L10" s="677"/>
      <c r="M10" s="677"/>
      <c r="N10" s="214"/>
    </row>
    <row r="11" spans="1:14" ht="15.75">
      <c r="A11" s="676" t="s">
        <v>120</v>
      </c>
      <c r="B11" s="677"/>
      <c r="C11" s="677"/>
      <c r="D11" s="677"/>
      <c r="E11" s="677"/>
      <c r="F11" s="677"/>
      <c r="G11" s="677"/>
      <c r="H11" s="677"/>
      <c r="I11" s="677"/>
      <c r="J11" s="677"/>
      <c r="K11" s="677"/>
      <c r="L11" s="677"/>
      <c r="M11" s="677"/>
      <c r="N11" s="214">
        <f>10*80*72</f>
        <v>57600</v>
      </c>
    </row>
    <row r="12" spans="1:14" ht="15.75">
      <c r="A12" s="678" t="s">
        <v>121</v>
      </c>
      <c r="B12" s="679"/>
      <c r="C12" s="679"/>
      <c r="D12" s="679"/>
      <c r="E12" s="679"/>
      <c r="F12" s="679"/>
      <c r="G12" s="679"/>
      <c r="H12" s="679"/>
      <c r="I12" s="679"/>
      <c r="J12" s="679"/>
      <c r="K12" s="679"/>
      <c r="L12" s="679"/>
      <c r="M12" s="679"/>
      <c r="N12" s="214"/>
    </row>
    <row r="13" spans="1:14" ht="15.75">
      <c r="A13" s="676" t="s">
        <v>122</v>
      </c>
      <c r="B13" s="677"/>
      <c r="C13" s="677"/>
      <c r="D13" s="677"/>
      <c r="E13" s="677"/>
      <c r="F13" s="677"/>
      <c r="G13" s="677"/>
      <c r="H13" s="677"/>
      <c r="I13" s="677"/>
      <c r="J13" s="677"/>
      <c r="K13" s="677"/>
      <c r="L13" s="677"/>
      <c r="M13" s="677"/>
      <c r="N13" s="214">
        <f>20*85*72</f>
        <v>122400</v>
      </c>
    </row>
    <row r="14" spans="1:14" ht="15.75">
      <c r="A14" s="676" t="s">
        <v>123</v>
      </c>
      <c r="B14" s="677"/>
      <c r="C14" s="677"/>
      <c r="D14" s="677"/>
      <c r="E14" s="677"/>
      <c r="F14" s="677"/>
      <c r="G14" s="677"/>
      <c r="H14" s="677"/>
      <c r="I14" s="677"/>
      <c r="J14" s="677"/>
      <c r="K14" s="677"/>
      <c r="L14" s="677"/>
      <c r="M14" s="677"/>
      <c r="N14" s="214"/>
    </row>
    <row r="15" spans="1:14" ht="15.75">
      <c r="A15" s="676" t="s">
        <v>120</v>
      </c>
      <c r="B15" s="677"/>
      <c r="C15" s="677"/>
      <c r="D15" s="677"/>
      <c r="E15" s="677"/>
      <c r="F15" s="677"/>
      <c r="G15" s="677"/>
      <c r="H15" s="677"/>
      <c r="I15" s="677"/>
      <c r="J15" s="677"/>
      <c r="K15" s="677"/>
      <c r="L15" s="677"/>
      <c r="M15" s="677"/>
      <c r="N15" s="214">
        <f>10*80*72</f>
        <v>57600</v>
      </c>
    </row>
    <row r="16" spans="1:14" ht="15.75">
      <c r="A16" s="678" t="s">
        <v>124</v>
      </c>
      <c r="B16" s="679"/>
      <c r="C16" s="679"/>
      <c r="D16" s="679"/>
      <c r="E16" s="679"/>
      <c r="F16" s="679"/>
      <c r="G16" s="679"/>
      <c r="H16" s="679"/>
      <c r="I16" s="679"/>
      <c r="J16" s="679"/>
      <c r="K16" s="679"/>
      <c r="L16" s="679"/>
      <c r="M16" s="679"/>
      <c r="N16" s="214"/>
    </row>
    <row r="17" spans="1:14" ht="15.75">
      <c r="A17" s="676" t="s">
        <v>125</v>
      </c>
      <c r="B17" s="677"/>
      <c r="C17" s="677"/>
      <c r="D17" s="677"/>
      <c r="E17" s="677"/>
      <c r="F17" s="677"/>
      <c r="G17" s="677"/>
      <c r="H17" s="677"/>
      <c r="I17" s="677"/>
      <c r="J17" s="677"/>
      <c r="K17" s="677"/>
      <c r="L17" s="677"/>
      <c r="M17" s="677"/>
      <c r="N17" s="214">
        <f>20*80*72</f>
        <v>115200</v>
      </c>
    </row>
    <row r="18" spans="1:14" ht="15.75">
      <c r="A18" s="678" t="s">
        <v>126</v>
      </c>
      <c r="B18" s="679"/>
      <c r="C18" s="679"/>
      <c r="D18" s="679"/>
      <c r="E18" s="679"/>
      <c r="F18" s="679"/>
      <c r="G18" s="679"/>
      <c r="H18" s="679"/>
      <c r="I18" s="679"/>
      <c r="J18" s="679"/>
      <c r="K18" s="679"/>
      <c r="L18" s="679"/>
      <c r="M18" s="679"/>
      <c r="N18" s="214"/>
    </row>
    <row r="19" spans="1:14" ht="15.75">
      <c r="A19" s="676" t="s">
        <v>127</v>
      </c>
      <c r="B19" s="677"/>
      <c r="C19" s="677"/>
      <c r="D19" s="677"/>
      <c r="E19" s="677"/>
      <c r="F19" s="677"/>
      <c r="G19" s="677"/>
      <c r="H19" s="677"/>
      <c r="I19" s="677"/>
      <c r="J19" s="677"/>
      <c r="K19" s="677"/>
      <c r="L19" s="677"/>
      <c r="M19" s="677"/>
      <c r="N19" s="214">
        <f>10*75*72</f>
        <v>54000</v>
      </c>
    </row>
    <row r="20" spans="1:14" ht="15.75">
      <c r="A20" s="678" t="s">
        <v>128</v>
      </c>
      <c r="B20" s="679"/>
      <c r="C20" s="679"/>
      <c r="D20" s="679"/>
      <c r="E20" s="679"/>
      <c r="F20" s="679"/>
      <c r="G20" s="679"/>
      <c r="H20" s="679"/>
      <c r="I20" s="679"/>
      <c r="J20" s="679"/>
      <c r="K20" s="679"/>
      <c r="L20" s="679"/>
      <c r="M20" s="679"/>
      <c r="N20" s="214"/>
    </row>
    <row r="21" spans="1:14" ht="15.75">
      <c r="A21" s="676" t="s">
        <v>120</v>
      </c>
      <c r="B21" s="677"/>
      <c r="C21" s="677"/>
      <c r="D21" s="677"/>
      <c r="E21" s="677"/>
      <c r="F21" s="677"/>
      <c r="G21" s="677"/>
      <c r="H21" s="677"/>
      <c r="I21" s="677"/>
      <c r="J21" s="677"/>
      <c r="K21" s="677"/>
      <c r="L21" s="677"/>
      <c r="M21" s="677"/>
      <c r="N21" s="214">
        <f>10*80*72</f>
        <v>57600</v>
      </c>
    </row>
    <row r="22" spans="1:14" ht="15.75">
      <c r="A22" s="678" t="s">
        <v>76</v>
      </c>
      <c r="B22" s="679"/>
      <c r="C22" s="679"/>
      <c r="D22" s="679"/>
      <c r="E22" s="679"/>
      <c r="F22" s="679"/>
      <c r="G22" s="679"/>
      <c r="H22" s="679"/>
      <c r="I22" s="679"/>
      <c r="J22" s="679"/>
      <c r="K22" s="679"/>
      <c r="L22" s="679"/>
      <c r="M22" s="679"/>
      <c r="N22" s="214"/>
    </row>
    <row r="23" spans="1:14" ht="15.75">
      <c r="A23" s="676" t="s">
        <v>129</v>
      </c>
      <c r="B23" s="677"/>
      <c r="C23" s="677"/>
      <c r="D23" s="677"/>
      <c r="E23" s="677"/>
      <c r="F23" s="677"/>
      <c r="G23" s="677"/>
      <c r="H23" s="677"/>
      <c r="I23" s="677"/>
      <c r="J23" s="677"/>
      <c r="K23" s="677"/>
      <c r="L23" s="677"/>
      <c r="M23" s="677"/>
      <c r="N23" s="214">
        <f>20*75*72</f>
        <v>108000</v>
      </c>
    </row>
    <row r="24" spans="1:14" ht="15.75">
      <c r="A24" s="680" t="s">
        <v>77</v>
      </c>
      <c r="B24" s="681"/>
      <c r="C24" s="681"/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N24" s="214"/>
    </row>
    <row r="25" spans="1:14" ht="15.75">
      <c r="A25" s="682" t="s">
        <v>120</v>
      </c>
      <c r="B25" s="683"/>
      <c r="C25" s="683"/>
      <c r="D25" s="683"/>
      <c r="E25" s="683"/>
      <c r="F25" s="683"/>
      <c r="G25" s="683"/>
      <c r="H25" s="683"/>
      <c r="I25" s="683"/>
      <c r="J25" s="683"/>
      <c r="K25" s="683"/>
      <c r="L25" s="683"/>
      <c r="M25" s="683"/>
      <c r="N25" s="214">
        <f>10*80*72</f>
        <v>57600</v>
      </c>
    </row>
    <row r="26" spans="1:14" ht="15.75">
      <c r="A26" s="680" t="s">
        <v>78</v>
      </c>
      <c r="B26" s="681"/>
      <c r="C26" s="681"/>
      <c r="D26" s="681"/>
      <c r="E26" s="681"/>
      <c r="F26" s="681"/>
      <c r="G26" s="681"/>
      <c r="H26" s="681"/>
      <c r="I26" s="681"/>
      <c r="J26" s="681"/>
      <c r="K26" s="681"/>
      <c r="L26" s="681"/>
      <c r="M26" s="681"/>
      <c r="N26" s="214"/>
    </row>
    <row r="27" spans="1:14" ht="15.75">
      <c r="A27" s="682" t="s">
        <v>131</v>
      </c>
      <c r="B27" s="683"/>
      <c r="C27" s="683"/>
      <c r="D27" s="683"/>
      <c r="E27" s="683"/>
      <c r="F27" s="683"/>
      <c r="G27" s="683"/>
      <c r="H27" s="683"/>
      <c r="I27" s="683"/>
      <c r="J27" s="683"/>
      <c r="K27" s="683"/>
      <c r="L27" s="683"/>
      <c r="M27" s="683"/>
      <c r="N27" s="214">
        <f>10*85*8*9</f>
        <v>61200</v>
      </c>
    </row>
    <row r="28" spans="1:14" ht="15.75">
      <c r="A28" s="680" t="s">
        <v>130</v>
      </c>
      <c r="B28" s="681"/>
      <c r="C28" s="681"/>
      <c r="D28" s="681"/>
      <c r="E28" s="681"/>
      <c r="F28" s="681"/>
      <c r="G28" s="681"/>
      <c r="H28" s="681"/>
      <c r="I28" s="681"/>
      <c r="J28" s="681"/>
      <c r="K28" s="681"/>
      <c r="L28" s="681"/>
      <c r="M28" s="681"/>
      <c r="N28" s="214"/>
    </row>
    <row r="29" spans="1:14" ht="15.75">
      <c r="A29" s="682" t="s">
        <v>129</v>
      </c>
      <c r="B29" s="683"/>
      <c r="C29" s="683"/>
      <c r="D29" s="683"/>
      <c r="E29" s="683"/>
      <c r="F29" s="683"/>
      <c r="G29" s="683"/>
      <c r="H29" s="683"/>
      <c r="I29" s="683"/>
      <c r="J29" s="683"/>
      <c r="K29" s="683"/>
      <c r="L29" s="683"/>
      <c r="M29" s="683"/>
      <c r="N29" s="214">
        <f>20*75*72</f>
        <v>108000</v>
      </c>
    </row>
    <row r="30" spans="1:14" ht="15.75">
      <c r="A30" s="680" t="s">
        <v>132</v>
      </c>
      <c r="B30" s="681"/>
      <c r="C30" s="681"/>
      <c r="D30" s="681"/>
      <c r="E30" s="681"/>
      <c r="F30" s="681"/>
      <c r="G30" s="681"/>
      <c r="H30" s="681"/>
      <c r="I30" s="681"/>
      <c r="J30" s="681"/>
      <c r="K30" s="681"/>
      <c r="L30" s="681"/>
      <c r="M30" s="681"/>
      <c r="N30" s="214"/>
    </row>
    <row r="31" spans="1:14" ht="15.75">
      <c r="A31" s="682" t="s">
        <v>131</v>
      </c>
      <c r="B31" s="683"/>
      <c r="C31" s="683"/>
      <c r="D31" s="683"/>
      <c r="E31" s="683"/>
      <c r="F31" s="683"/>
      <c r="G31" s="683"/>
      <c r="H31" s="683"/>
      <c r="I31" s="683"/>
      <c r="J31" s="683"/>
      <c r="K31" s="683"/>
      <c r="L31" s="683"/>
      <c r="M31" s="683"/>
      <c r="N31" s="214">
        <f>10*85*72</f>
        <v>61200</v>
      </c>
    </row>
    <row r="32" spans="1:14" ht="15.75">
      <c r="A32" s="680" t="s">
        <v>133</v>
      </c>
      <c r="B32" s="681"/>
      <c r="C32" s="681"/>
      <c r="D32" s="681"/>
      <c r="E32" s="681"/>
      <c r="F32" s="681"/>
      <c r="G32" s="681"/>
      <c r="H32" s="681"/>
      <c r="I32" s="681"/>
      <c r="J32" s="681"/>
      <c r="K32" s="681"/>
      <c r="L32" s="681"/>
      <c r="M32" s="681"/>
      <c r="N32" s="214"/>
    </row>
    <row r="33" spans="1:14" ht="15.75">
      <c r="A33" s="682" t="s">
        <v>125</v>
      </c>
      <c r="B33" s="683"/>
      <c r="C33" s="683"/>
      <c r="D33" s="683"/>
      <c r="E33" s="683"/>
      <c r="F33" s="683"/>
      <c r="G33" s="683"/>
      <c r="H33" s="683"/>
      <c r="I33" s="683"/>
      <c r="J33" s="683"/>
      <c r="K33" s="683"/>
      <c r="L33" s="683"/>
      <c r="M33" s="683"/>
      <c r="N33" s="214">
        <f>20*80*72</f>
        <v>115200</v>
      </c>
    </row>
    <row r="34" spans="1:14" ht="15.75">
      <c r="A34" s="680" t="s">
        <v>79</v>
      </c>
      <c r="B34" s="681"/>
      <c r="C34" s="681"/>
      <c r="D34" s="681"/>
      <c r="E34" s="681"/>
      <c r="F34" s="681"/>
      <c r="G34" s="681"/>
      <c r="H34" s="681"/>
      <c r="I34" s="681"/>
      <c r="J34" s="681"/>
      <c r="K34" s="681"/>
      <c r="L34" s="681"/>
      <c r="M34" s="681"/>
      <c r="N34" s="214"/>
    </row>
    <row r="35" spans="1:14" ht="15.75">
      <c r="A35" s="682" t="s">
        <v>134</v>
      </c>
      <c r="B35" s="683"/>
      <c r="C35" s="683"/>
      <c r="D35" s="683"/>
      <c r="E35" s="683"/>
      <c r="F35" s="683"/>
      <c r="G35" s="683"/>
      <c r="H35" s="683"/>
      <c r="I35" s="683"/>
      <c r="J35" s="683"/>
      <c r="K35" s="683"/>
      <c r="L35" s="683"/>
      <c r="M35" s="683"/>
      <c r="N35" s="214">
        <f>30*75*72</f>
        <v>162000</v>
      </c>
    </row>
    <row r="36" spans="1:14" ht="15.75">
      <c r="A36" s="680" t="s">
        <v>135</v>
      </c>
      <c r="B36" s="681"/>
      <c r="C36" s="681"/>
      <c r="D36" s="681"/>
      <c r="E36" s="681"/>
      <c r="F36" s="681"/>
      <c r="G36" s="681"/>
      <c r="H36" s="681"/>
      <c r="I36" s="681"/>
      <c r="J36" s="681"/>
      <c r="K36" s="681"/>
      <c r="L36" s="681"/>
      <c r="M36" s="681"/>
      <c r="N36" s="214"/>
    </row>
    <row r="37" spans="1:14" ht="15.75">
      <c r="A37" s="682" t="s">
        <v>131</v>
      </c>
      <c r="B37" s="683"/>
      <c r="C37" s="683"/>
      <c r="D37" s="683"/>
      <c r="E37" s="683"/>
      <c r="F37" s="683"/>
      <c r="G37" s="683"/>
      <c r="H37" s="683"/>
      <c r="I37" s="683"/>
      <c r="J37" s="683"/>
      <c r="K37" s="683"/>
      <c r="L37" s="683"/>
      <c r="M37" s="683"/>
      <c r="N37" s="214">
        <f>10*85*72</f>
        <v>61200</v>
      </c>
    </row>
    <row r="38" spans="1:14" ht="15.75">
      <c r="A38" s="680" t="s">
        <v>136</v>
      </c>
      <c r="B38" s="681"/>
      <c r="C38" s="681"/>
      <c r="D38" s="681"/>
      <c r="E38" s="681"/>
      <c r="F38" s="681"/>
      <c r="G38" s="681"/>
      <c r="H38" s="681"/>
      <c r="I38" s="681"/>
      <c r="J38" s="681"/>
      <c r="K38" s="681"/>
      <c r="L38" s="681"/>
      <c r="M38" s="681"/>
      <c r="N38" s="214"/>
    </row>
    <row r="39" spans="1:16" ht="15.75">
      <c r="A39" s="682" t="s">
        <v>137</v>
      </c>
      <c r="B39" s="683"/>
      <c r="C39" s="683"/>
      <c r="D39" s="683"/>
      <c r="E39" s="683"/>
      <c r="F39" s="683"/>
      <c r="G39" s="683"/>
      <c r="H39" s="683"/>
      <c r="I39" s="683"/>
      <c r="J39" s="683"/>
      <c r="K39" s="683"/>
      <c r="L39" s="683"/>
      <c r="M39" s="683"/>
      <c r="N39" s="214">
        <f>30*85*72</f>
        <v>183600</v>
      </c>
      <c r="O39" s="87"/>
      <c r="P39" s="87"/>
    </row>
    <row r="40" spans="1:14" ht="15.75">
      <c r="A40" s="680" t="s">
        <v>138</v>
      </c>
      <c r="B40" s="681"/>
      <c r="C40" s="681"/>
      <c r="D40" s="681"/>
      <c r="E40" s="681"/>
      <c r="F40" s="681"/>
      <c r="G40" s="681"/>
      <c r="H40" s="681"/>
      <c r="I40" s="681"/>
      <c r="J40" s="681"/>
      <c r="K40" s="681"/>
      <c r="L40" s="681"/>
      <c r="M40" s="681"/>
      <c r="N40" s="214"/>
    </row>
    <row r="41" spans="1:14" ht="16.5" thickBot="1">
      <c r="A41" s="684" t="s">
        <v>139</v>
      </c>
      <c r="B41" s="685"/>
      <c r="C41" s="685"/>
      <c r="D41" s="685"/>
      <c r="E41" s="685"/>
      <c r="F41" s="685"/>
      <c r="G41" s="685"/>
      <c r="H41" s="685"/>
      <c r="I41" s="685"/>
      <c r="J41" s="685"/>
      <c r="K41" s="685"/>
      <c r="L41" s="685"/>
      <c r="M41" s="685"/>
      <c r="N41" s="215">
        <f>50*80*72</f>
        <v>288000</v>
      </c>
    </row>
    <row r="42" spans="1:14" ht="16.5" thickBot="1">
      <c r="A42" s="672" t="s">
        <v>62</v>
      </c>
      <c r="B42" s="672"/>
      <c r="C42" s="672"/>
      <c r="D42" s="672"/>
      <c r="E42" s="672"/>
      <c r="F42" s="672"/>
      <c r="G42" s="672"/>
      <c r="H42" s="672"/>
      <c r="I42" s="672"/>
      <c r="J42" s="672"/>
      <c r="K42" s="672"/>
      <c r="L42" s="672"/>
      <c r="M42" s="672"/>
      <c r="N42" s="672"/>
    </row>
    <row r="43" spans="1:14" ht="18.75" thickBot="1">
      <c r="A43" s="673" t="s">
        <v>73</v>
      </c>
      <c r="B43" s="673"/>
      <c r="C43" s="673"/>
      <c r="D43" s="673"/>
      <c r="E43" s="673"/>
      <c r="F43" s="673"/>
      <c r="G43" s="673"/>
      <c r="H43" s="673"/>
      <c r="I43" s="673"/>
      <c r="J43" s="673"/>
      <c r="K43" s="673"/>
      <c r="L43" s="673"/>
      <c r="M43" s="673"/>
      <c r="N43" s="225">
        <f>N47+N77+N83+N108+N138+N147+N131</f>
        <v>1951200</v>
      </c>
    </row>
    <row r="44" spans="1:14" ht="12.75">
      <c r="A44" s="500" t="s">
        <v>140</v>
      </c>
      <c r="B44" s="500"/>
      <c r="C44" s="500"/>
      <c r="D44" s="500"/>
      <c r="E44" s="500"/>
      <c r="F44" s="500"/>
      <c r="G44" s="500"/>
      <c r="H44" s="500"/>
      <c r="I44" s="500"/>
      <c r="J44" s="500"/>
      <c r="K44" s="500"/>
      <c r="L44" s="500"/>
      <c r="M44" s="500"/>
      <c r="N44" s="500"/>
    </row>
    <row r="45" spans="1:14" ht="12.75">
      <c r="A45" s="501" t="s">
        <v>7</v>
      </c>
      <c r="B45" s="501"/>
      <c r="C45" s="501"/>
      <c r="D45" s="501"/>
      <c r="E45" s="501"/>
      <c r="F45" s="501"/>
      <c r="G45" s="501"/>
      <c r="H45" s="501"/>
      <c r="I45" s="501"/>
      <c r="J45" s="501"/>
      <c r="K45" s="501"/>
      <c r="L45" s="501"/>
      <c r="M45" s="501"/>
      <c r="N45" s="501"/>
    </row>
    <row r="46" spans="1:14" ht="13.5" thickBo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 t="s">
        <v>3</v>
      </c>
    </row>
    <row r="47" spans="1:14" ht="13.5" thickBot="1">
      <c r="A47" s="686"/>
      <c r="B47" s="686"/>
      <c r="C47" s="686"/>
      <c r="D47" s="686"/>
      <c r="E47" s="686"/>
      <c r="F47" s="686"/>
      <c r="G47" s="686"/>
      <c r="H47" s="686"/>
      <c r="I47" s="686"/>
      <c r="J47" s="686"/>
      <c r="K47" s="686"/>
      <c r="L47" s="686"/>
      <c r="M47" s="687"/>
      <c r="N47" s="225">
        <f>M48+M66+M70+M72+M67+M69+M68+M71+M49+M50+M51+M52+M53+M54+M55+M56+M57+M58+M59+M60+M61+M62+M63+M64+M65</f>
        <v>1049032.26</v>
      </c>
    </row>
    <row r="48" spans="1:14" ht="12.75">
      <c r="A48" s="16" t="s">
        <v>81</v>
      </c>
      <c r="B48" s="17"/>
      <c r="C48" s="168">
        <v>1</v>
      </c>
      <c r="D48" s="17"/>
      <c r="E48" s="17" t="s">
        <v>18</v>
      </c>
      <c r="F48" s="169" t="s">
        <v>0</v>
      </c>
      <c r="G48" s="17">
        <v>9956</v>
      </c>
      <c r="H48" s="17" t="s">
        <v>3</v>
      </c>
      <c r="I48" s="17" t="s">
        <v>0</v>
      </c>
      <c r="J48" s="168">
        <v>9</v>
      </c>
      <c r="K48" s="17" t="s">
        <v>1</v>
      </c>
      <c r="L48" s="17" t="s">
        <v>2</v>
      </c>
      <c r="M48" s="170">
        <f aca="true" t="shared" si="0" ref="M48:M65">C48*G48*J48</f>
        <v>89604</v>
      </c>
      <c r="N48" s="20"/>
    </row>
    <row r="49" spans="1:14" ht="12.75">
      <c r="A49" s="9" t="s">
        <v>141</v>
      </c>
      <c r="B49" s="2"/>
      <c r="C49" s="171">
        <v>1</v>
      </c>
      <c r="D49" s="2"/>
      <c r="E49" s="2" t="s">
        <v>18</v>
      </c>
      <c r="F49" s="33" t="s">
        <v>0</v>
      </c>
      <c r="G49" s="2">
        <v>3144</v>
      </c>
      <c r="H49" s="2" t="s">
        <v>3</v>
      </c>
      <c r="I49" s="2" t="s">
        <v>0</v>
      </c>
      <c r="J49" s="171">
        <v>9</v>
      </c>
      <c r="K49" s="2" t="s">
        <v>1</v>
      </c>
      <c r="L49" s="2" t="s">
        <v>2</v>
      </c>
      <c r="M49" s="163">
        <f t="shared" si="0"/>
        <v>28296</v>
      </c>
      <c r="N49" s="21"/>
    </row>
    <row r="50" spans="1:14" ht="12.75">
      <c r="A50" s="9" t="s">
        <v>142</v>
      </c>
      <c r="B50" s="2"/>
      <c r="C50" s="171">
        <v>1</v>
      </c>
      <c r="D50" s="2"/>
      <c r="E50" s="2" t="s">
        <v>18</v>
      </c>
      <c r="F50" s="33" t="s">
        <v>0</v>
      </c>
      <c r="G50" s="2">
        <v>3136</v>
      </c>
      <c r="H50" s="2" t="s">
        <v>3</v>
      </c>
      <c r="I50" s="2" t="s">
        <v>0</v>
      </c>
      <c r="J50" s="171">
        <v>9</v>
      </c>
      <c r="K50" s="2" t="s">
        <v>1</v>
      </c>
      <c r="L50" s="2" t="s">
        <v>2</v>
      </c>
      <c r="M50" s="163">
        <f t="shared" si="0"/>
        <v>28224</v>
      </c>
      <c r="N50" s="21"/>
    </row>
    <row r="51" spans="1:14" ht="12.75">
      <c r="A51" s="9" t="s">
        <v>143</v>
      </c>
      <c r="B51" s="2"/>
      <c r="C51" s="171">
        <v>1</v>
      </c>
      <c r="D51" s="2"/>
      <c r="E51" s="2" t="s">
        <v>18</v>
      </c>
      <c r="F51" s="33" t="s">
        <v>0</v>
      </c>
      <c r="G51" s="2">
        <v>4964</v>
      </c>
      <c r="H51" s="2" t="s">
        <v>3</v>
      </c>
      <c r="I51" s="2" t="s">
        <v>0</v>
      </c>
      <c r="J51" s="171">
        <v>9</v>
      </c>
      <c r="K51" s="2" t="s">
        <v>1</v>
      </c>
      <c r="L51" s="2" t="s">
        <v>2</v>
      </c>
      <c r="M51" s="163">
        <f t="shared" si="0"/>
        <v>44676</v>
      </c>
      <c r="N51" s="21"/>
    </row>
    <row r="52" spans="1:14" ht="12.75">
      <c r="A52" s="9" t="s">
        <v>144</v>
      </c>
      <c r="B52" s="2"/>
      <c r="C52" s="171">
        <v>1</v>
      </c>
      <c r="D52" s="2"/>
      <c r="E52" s="2" t="s">
        <v>18</v>
      </c>
      <c r="F52" s="33" t="s">
        <v>0</v>
      </c>
      <c r="G52" s="2">
        <v>3336</v>
      </c>
      <c r="H52" s="2" t="s">
        <v>3</v>
      </c>
      <c r="I52" s="2" t="s">
        <v>0</v>
      </c>
      <c r="J52" s="171">
        <v>9</v>
      </c>
      <c r="K52" s="2" t="s">
        <v>1</v>
      </c>
      <c r="L52" s="2" t="s">
        <v>2</v>
      </c>
      <c r="M52" s="163">
        <f t="shared" si="0"/>
        <v>30024</v>
      </c>
      <c r="N52" s="21"/>
    </row>
    <row r="53" spans="1:14" ht="12.75">
      <c r="A53" s="9" t="s">
        <v>145</v>
      </c>
      <c r="B53" s="2"/>
      <c r="C53" s="171">
        <v>1</v>
      </c>
      <c r="D53" s="2"/>
      <c r="E53" s="2" t="s">
        <v>18</v>
      </c>
      <c r="F53" s="33" t="s">
        <v>0</v>
      </c>
      <c r="G53" s="2">
        <v>4972</v>
      </c>
      <c r="H53" s="2" t="s">
        <v>3</v>
      </c>
      <c r="I53" s="2" t="s">
        <v>0</v>
      </c>
      <c r="J53" s="171">
        <v>9</v>
      </c>
      <c r="K53" s="2" t="s">
        <v>1</v>
      </c>
      <c r="L53" s="2" t="s">
        <v>2</v>
      </c>
      <c r="M53" s="163">
        <f>C53*G53*J53</f>
        <v>44748</v>
      </c>
      <c r="N53" s="21"/>
    </row>
    <row r="54" spans="1:14" ht="12.75">
      <c r="A54" s="9" t="s">
        <v>146</v>
      </c>
      <c r="B54" s="2"/>
      <c r="C54" s="171">
        <v>1</v>
      </c>
      <c r="D54" s="2"/>
      <c r="E54" s="2" t="s">
        <v>18</v>
      </c>
      <c r="F54" s="33" t="s">
        <v>0</v>
      </c>
      <c r="G54" s="2">
        <v>2990</v>
      </c>
      <c r="H54" s="2" t="s">
        <v>3</v>
      </c>
      <c r="I54" s="2" t="s">
        <v>0</v>
      </c>
      <c r="J54" s="171">
        <v>9</v>
      </c>
      <c r="K54" s="2" t="s">
        <v>1</v>
      </c>
      <c r="L54" s="2" t="s">
        <v>2</v>
      </c>
      <c r="M54" s="163">
        <f t="shared" si="0"/>
        <v>26910</v>
      </c>
      <c r="N54" s="21"/>
    </row>
    <row r="55" spans="1:14" ht="12.75">
      <c r="A55" s="9" t="s">
        <v>147</v>
      </c>
      <c r="B55" s="2"/>
      <c r="C55" s="171">
        <v>1</v>
      </c>
      <c r="D55" s="2"/>
      <c r="E55" s="2" t="s">
        <v>18</v>
      </c>
      <c r="F55" s="33" t="s">
        <v>0</v>
      </c>
      <c r="G55" s="2">
        <v>3036</v>
      </c>
      <c r="H55" s="2" t="s">
        <v>3</v>
      </c>
      <c r="I55" s="2" t="s">
        <v>0</v>
      </c>
      <c r="J55" s="171">
        <v>9</v>
      </c>
      <c r="K55" s="2" t="s">
        <v>1</v>
      </c>
      <c r="L55" s="2" t="s">
        <v>2</v>
      </c>
      <c r="M55" s="163">
        <f t="shared" si="0"/>
        <v>27324</v>
      </c>
      <c r="N55" s="21"/>
    </row>
    <row r="56" spans="1:14" ht="12.75">
      <c r="A56" s="9" t="s">
        <v>148</v>
      </c>
      <c r="B56" s="2"/>
      <c r="C56" s="171">
        <v>1</v>
      </c>
      <c r="D56" s="2"/>
      <c r="E56" s="2" t="s">
        <v>18</v>
      </c>
      <c r="F56" s="33" t="s">
        <v>0</v>
      </c>
      <c r="G56" s="2">
        <v>4380</v>
      </c>
      <c r="H56" s="2" t="s">
        <v>3</v>
      </c>
      <c r="I56" s="2" t="s">
        <v>0</v>
      </c>
      <c r="J56" s="171">
        <v>9</v>
      </c>
      <c r="K56" s="2" t="s">
        <v>1</v>
      </c>
      <c r="L56" s="2" t="s">
        <v>2</v>
      </c>
      <c r="M56" s="163">
        <f t="shared" si="0"/>
        <v>39420</v>
      </c>
      <c r="N56" s="21"/>
    </row>
    <row r="57" spans="1:14" ht="12.75">
      <c r="A57" s="9" t="s">
        <v>149</v>
      </c>
      <c r="B57" s="2"/>
      <c r="C57" s="171">
        <v>1</v>
      </c>
      <c r="D57" s="2"/>
      <c r="E57" s="2" t="s">
        <v>18</v>
      </c>
      <c r="F57" s="33" t="s">
        <v>0</v>
      </c>
      <c r="G57" s="2">
        <v>3082</v>
      </c>
      <c r="H57" s="2" t="s">
        <v>3</v>
      </c>
      <c r="I57" s="2" t="s">
        <v>0</v>
      </c>
      <c r="J57" s="171">
        <v>9</v>
      </c>
      <c r="K57" s="2" t="s">
        <v>1</v>
      </c>
      <c r="L57" s="2" t="s">
        <v>2</v>
      </c>
      <c r="M57" s="163">
        <f t="shared" si="0"/>
        <v>27738</v>
      </c>
      <c r="N57" s="21"/>
    </row>
    <row r="58" spans="1:14" ht="12.75">
      <c r="A58" s="9" t="s">
        <v>150</v>
      </c>
      <c r="B58" s="2"/>
      <c r="C58" s="171">
        <v>1</v>
      </c>
      <c r="D58" s="2"/>
      <c r="E58" s="2" t="s">
        <v>18</v>
      </c>
      <c r="F58" s="33" t="s">
        <v>0</v>
      </c>
      <c r="G58" s="2">
        <v>4680</v>
      </c>
      <c r="H58" s="2" t="s">
        <v>3</v>
      </c>
      <c r="I58" s="2" t="s">
        <v>0</v>
      </c>
      <c r="J58" s="171">
        <v>9</v>
      </c>
      <c r="K58" s="2" t="s">
        <v>1</v>
      </c>
      <c r="L58" s="2" t="s">
        <v>2</v>
      </c>
      <c r="M58" s="163">
        <f t="shared" si="0"/>
        <v>42120</v>
      </c>
      <c r="N58" s="21"/>
    </row>
    <row r="59" spans="1:14" ht="12.75">
      <c r="A59" s="9" t="s">
        <v>151</v>
      </c>
      <c r="B59" s="2"/>
      <c r="C59" s="171">
        <v>1</v>
      </c>
      <c r="D59" s="2"/>
      <c r="E59" s="2" t="s">
        <v>18</v>
      </c>
      <c r="F59" s="33" t="s">
        <v>0</v>
      </c>
      <c r="G59" s="2">
        <v>3082</v>
      </c>
      <c r="H59" s="2" t="s">
        <v>3</v>
      </c>
      <c r="I59" s="2" t="s">
        <v>0</v>
      </c>
      <c r="J59" s="171">
        <v>9</v>
      </c>
      <c r="K59" s="2" t="s">
        <v>1</v>
      </c>
      <c r="L59" s="2" t="s">
        <v>2</v>
      </c>
      <c r="M59" s="163">
        <f t="shared" si="0"/>
        <v>27738</v>
      </c>
      <c r="N59" s="21"/>
    </row>
    <row r="60" spans="1:14" ht="12.75">
      <c r="A60" s="9" t="s">
        <v>152</v>
      </c>
      <c r="B60" s="2"/>
      <c r="C60" s="171">
        <v>1</v>
      </c>
      <c r="D60" s="2"/>
      <c r="E60" s="2" t="s">
        <v>18</v>
      </c>
      <c r="F60" s="33" t="s">
        <v>0</v>
      </c>
      <c r="G60" s="2">
        <v>4672</v>
      </c>
      <c r="H60" s="2" t="s">
        <v>3</v>
      </c>
      <c r="I60" s="2" t="s">
        <v>0</v>
      </c>
      <c r="J60" s="171">
        <v>9</v>
      </c>
      <c r="K60" s="2" t="s">
        <v>1</v>
      </c>
      <c r="L60" s="2" t="s">
        <v>2</v>
      </c>
      <c r="M60" s="163">
        <f t="shared" si="0"/>
        <v>42048</v>
      </c>
      <c r="N60" s="21"/>
    </row>
    <row r="61" spans="1:14" ht="12.75">
      <c r="A61" s="9" t="s">
        <v>153</v>
      </c>
      <c r="B61" s="2"/>
      <c r="C61" s="171">
        <v>1</v>
      </c>
      <c r="D61" s="2"/>
      <c r="E61" s="2" t="s">
        <v>18</v>
      </c>
      <c r="F61" s="33" t="s">
        <v>0</v>
      </c>
      <c r="G61" s="2">
        <v>6570</v>
      </c>
      <c r="H61" s="2" t="s">
        <v>3</v>
      </c>
      <c r="I61" s="2" t="s">
        <v>0</v>
      </c>
      <c r="J61" s="171">
        <v>9</v>
      </c>
      <c r="K61" s="2" t="s">
        <v>1</v>
      </c>
      <c r="L61" s="2" t="s">
        <v>2</v>
      </c>
      <c r="M61" s="163">
        <f t="shared" si="0"/>
        <v>59130</v>
      </c>
      <c r="N61" s="21"/>
    </row>
    <row r="62" spans="1:14" ht="12.75">
      <c r="A62" s="9" t="s">
        <v>154</v>
      </c>
      <c r="B62" s="2"/>
      <c r="C62" s="171">
        <v>1</v>
      </c>
      <c r="D62" s="2"/>
      <c r="E62" s="2" t="s">
        <v>18</v>
      </c>
      <c r="F62" s="33" t="s">
        <v>0</v>
      </c>
      <c r="G62" s="2">
        <v>3082</v>
      </c>
      <c r="H62" s="2" t="s">
        <v>3</v>
      </c>
      <c r="I62" s="2" t="s">
        <v>0</v>
      </c>
      <c r="J62" s="171">
        <v>9</v>
      </c>
      <c r="K62" s="2" t="s">
        <v>1</v>
      </c>
      <c r="L62" s="2" t="s">
        <v>2</v>
      </c>
      <c r="M62" s="163">
        <f t="shared" si="0"/>
        <v>27738</v>
      </c>
      <c r="N62" s="21"/>
    </row>
    <row r="63" spans="1:14" ht="12.75">
      <c r="A63" s="9" t="s">
        <v>155</v>
      </c>
      <c r="B63" s="2"/>
      <c r="C63" s="171">
        <v>1</v>
      </c>
      <c r="D63" s="2"/>
      <c r="E63" s="2" t="s">
        <v>18</v>
      </c>
      <c r="F63" s="33" t="s">
        <v>0</v>
      </c>
      <c r="G63" s="2">
        <v>7446</v>
      </c>
      <c r="H63" s="2" t="s">
        <v>3</v>
      </c>
      <c r="I63" s="2" t="s">
        <v>0</v>
      </c>
      <c r="J63" s="171">
        <v>9</v>
      </c>
      <c r="K63" s="2" t="s">
        <v>1</v>
      </c>
      <c r="L63" s="2" t="s">
        <v>2</v>
      </c>
      <c r="M63" s="163">
        <f t="shared" si="0"/>
        <v>67014</v>
      </c>
      <c r="N63" s="21"/>
    </row>
    <row r="64" spans="1:14" ht="12.75">
      <c r="A64" s="9" t="s">
        <v>156</v>
      </c>
      <c r="B64" s="2"/>
      <c r="C64" s="171">
        <v>1</v>
      </c>
      <c r="D64" s="2"/>
      <c r="E64" s="2" t="s">
        <v>18</v>
      </c>
      <c r="F64" s="33" t="s">
        <v>0</v>
      </c>
      <c r="G64" s="2">
        <v>12208</v>
      </c>
      <c r="H64" s="2" t="s">
        <v>3</v>
      </c>
      <c r="I64" s="2" t="s">
        <v>0</v>
      </c>
      <c r="J64" s="171">
        <v>9</v>
      </c>
      <c r="K64" s="2" t="s">
        <v>1</v>
      </c>
      <c r="L64" s="2" t="s">
        <v>2</v>
      </c>
      <c r="M64" s="163">
        <f t="shared" si="0"/>
        <v>109872</v>
      </c>
      <c r="N64" s="21"/>
    </row>
    <row r="65" spans="1:14" ht="12.75">
      <c r="A65" s="9" t="s">
        <v>157</v>
      </c>
      <c r="B65" s="2"/>
      <c r="C65" s="171">
        <v>1</v>
      </c>
      <c r="D65" s="2"/>
      <c r="E65" s="2" t="s">
        <v>18</v>
      </c>
      <c r="F65" s="33" t="s">
        <v>0</v>
      </c>
      <c r="G65" s="2">
        <v>3236</v>
      </c>
      <c r="H65" s="2" t="s">
        <v>3</v>
      </c>
      <c r="I65" s="2" t="s">
        <v>0</v>
      </c>
      <c r="J65" s="171">
        <v>9</v>
      </c>
      <c r="K65" s="2" t="s">
        <v>1</v>
      </c>
      <c r="L65" s="2" t="s">
        <v>2</v>
      </c>
      <c r="M65" s="163">
        <f t="shared" si="0"/>
        <v>29124</v>
      </c>
      <c r="N65" s="21"/>
    </row>
    <row r="66" spans="1:14" ht="12.75">
      <c r="A66" s="9" t="s">
        <v>72</v>
      </c>
      <c r="B66" s="2"/>
      <c r="C66" s="171"/>
      <c r="D66" s="2"/>
      <c r="E66" s="2"/>
      <c r="F66" s="33"/>
      <c r="G66" s="2">
        <v>7672</v>
      </c>
      <c r="H66" s="2" t="s">
        <v>3</v>
      </c>
      <c r="I66" s="2" t="s">
        <v>0</v>
      </c>
      <c r="J66" s="171">
        <v>9</v>
      </c>
      <c r="K66" s="2" t="s">
        <v>1</v>
      </c>
      <c r="L66" s="2" t="s">
        <v>2</v>
      </c>
      <c r="M66" s="163">
        <f aca="true" t="shared" si="1" ref="M66:M72">G66*J66</f>
        <v>69048</v>
      </c>
      <c r="N66" s="21"/>
    </row>
    <row r="67" spans="1:14" ht="12.75">
      <c r="A67" s="9" t="s">
        <v>158</v>
      </c>
      <c r="B67" s="2"/>
      <c r="C67" s="171"/>
      <c r="D67" s="2"/>
      <c r="E67" s="2"/>
      <c r="F67" s="33"/>
      <c r="G67" s="2">
        <v>3919.5</v>
      </c>
      <c r="H67" s="2" t="s">
        <v>3</v>
      </c>
      <c r="I67" s="2" t="s">
        <v>0</v>
      </c>
      <c r="J67" s="171">
        <v>9</v>
      </c>
      <c r="K67" s="2" t="s">
        <v>1</v>
      </c>
      <c r="L67" s="2" t="s">
        <v>2</v>
      </c>
      <c r="M67" s="163">
        <f t="shared" si="1"/>
        <v>35275.5</v>
      </c>
      <c r="N67" s="21"/>
    </row>
    <row r="68" spans="1:14" ht="12.75">
      <c r="A68" s="9" t="s">
        <v>83</v>
      </c>
      <c r="B68" s="2"/>
      <c r="C68" s="171"/>
      <c r="D68" s="2"/>
      <c r="E68" s="2"/>
      <c r="F68" s="33"/>
      <c r="G68" s="2">
        <v>2540.2</v>
      </c>
      <c r="H68" s="2" t="s">
        <v>3</v>
      </c>
      <c r="I68" s="2" t="s">
        <v>0</v>
      </c>
      <c r="J68" s="171">
        <v>9</v>
      </c>
      <c r="K68" s="2" t="s">
        <v>1</v>
      </c>
      <c r="L68" s="2" t="s">
        <v>2</v>
      </c>
      <c r="M68" s="163">
        <f t="shared" si="1"/>
        <v>22861.8</v>
      </c>
      <c r="N68" s="21"/>
    </row>
    <row r="69" spans="1:14" ht="12.75">
      <c r="A69" s="9" t="s">
        <v>159</v>
      </c>
      <c r="B69" s="2"/>
      <c r="C69" s="171"/>
      <c r="D69" s="2"/>
      <c r="E69" s="2"/>
      <c r="F69" s="33"/>
      <c r="G69" s="2">
        <v>1876.72</v>
      </c>
      <c r="H69" s="2" t="s">
        <v>3</v>
      </c>
      <c r="I69" s="2" t="s">
        <v>0</v>
      </c>
      <c r="J69" s="171">
        <v>9</v>
      </c>
      <c r="K69" s="2" t="s">
        <v>1</v>
      </c>
      <c r="L69" s="2" t="s">
        <v>2</v>
      </c>
      <c r="M69" s="163">
        <f t="shared" si="1"/>
        <v>16890.48</v>
      </c>
      <c r="N69" s="21"/>
    </row>
    <row r="70" spans="1:14" ht="12.75">
      <c r="A70" s="9" t="s">
        <v>82</v>
      </c>
      <c r="B70" s="2"/>
      <c r="C70" s="171"/>
      <c r="D70" s="2"/>
      <c r="E70" s="2"/>
      <c r="F70" s="33"/>
      <c r="G70" s="2">
        <v>6209.3</v>
      </c>
      <c r="H70" s="2" t="s">
        <v>3</v>
      </c>
      <c r="I70" s="2" t="s">
        <v>0</v>
      </c>
      <c r="J70" s="171">
        <v>9</v>
      </c>
      <c r="K70" s="2" t="s">
        <v>1</v>
      </c>
      <c r="L70" s="2" t="s">
        <v>2</v>
      </c>
      <c r="M70" s="163">
        <f t="shared" si="1"/>
        <v>55883.700000000004</v>
      </c>
      <c r="N70" s="21"/>
    </row>
    <row r="71" spans="1:14" ht="12.75">
      <c r="A71" s="9" t="s">
        <v>160</v>
      </c>
      <c r="B71" s="2"/>
      <c r="C71" s="171"/>
      <c r="D71" s="2"/>
      <c r="E71" s="2"/>
      <c r="F71" s="33"/>
      <c r="G71" s="2">
        <v>3854.54</v>
      </c>
      <c r="H71" s="2" t="s">
        <v>3</v>
      </c>
      <c r="I71" s="2" t="s">
        <v>0</v>
      </c>
      <c r="J71" s="171">
        <v>9</v>
      </c>
      <c r="K71" s="2" t="s">
        <v>1</v>
      </c>
      <c r="L71" s="2" t="s">
        <v>2</v>
      </c>
      <c r="M71" s="163">
        <f t="shared" si="1"/>
        <v>34690.86</v>
      </c>
      <c r="N71" s="21"/>
    </row>
    <row r="72" spans="1:14" ht="13.5" thickBot="1">
      <c r="A72" s="13" t="s">
        <v>161</v>
      </c>
      <c r="B72" s="14"/>
      <c r="C72" s="172"/>
      <c r="D72" s="14"/>
      <c r="E72" s="14"/>
      <c r="F72" s="173"/>
      <c r="G72" s="14">
        <v>2514.88</v>
      </c>
      <c r="H72" s="14" t="s">
        <v>3</v>
      </c>
      <c r="I72" s="14" t="s">
        <v>0</v>
      </c>
      <c r="J72" s="172">
        <v>9</v>
      </c>
      <c r="K72" s="14" t="s">
        <v>1</v>
      </c>
      <c r="L72" s="14" t="s">
        <v>2</v>
      </c>
      <c r="M72" s="212">
        <f t="shared" si="1"/>
        <v>22633.920000000002</v>
      </c>
      <c r="N72" s="139"/>
    </row>
    <row r="73" spans="1:14" ht="12.75">
      <c r="A73" s="500" t="s">
        <v>8</v>
      </c>
      <c r="B73" s="500"/>
      <c r="C73" s="500"/>
      <c r="D73" s="500"/>
      <c r="E73" s="500"/>
      <c r="F73" s="500"/>
      <c r="G73" s="500"/>
      <c r="H73" s="500"/>
      <c r="I73" s="500"/>
      <c r="J73" s="500"/>
      <c r="K73" s="500"/>
      <c r="L73" s="500"/>
      <c r="M73" s="500"/>
      <c r="N73" s="500"/>
    </row>
    <row r="74" spans="1:14" ht="12.75">
      <c r="A74" s="501" t="s">
        <v>9</v>
      </c>
      <c r="B74" s="501"/>
      <c r="C74" s="501"/>
      <c r="D74" s="501"/>
      <c r="E74" s="501"/>
      <c r="F74" s="501"/>
      <c r="G74" s="501"/>
      <c r="H74" s="501"/>
      <c r="I74" s="501"/>
      <c r="J74" s="501"/>
      <c r="K74" s="501"/>
      <c r="L74" s="501"/>
      <c r="M74" s="501"/>
      <c r="N74" s="501"/>
    </row>
    <row r="75" spans="1:14" ht="12.75">
      <c r="A75" s="501" t="s">
        <v>80</v>
      </c>
      <c r="B75" s="501"/>
      <c r="C75" s="501"/>
      <c r="D75" s="501"/>
      <c r="E75" s="501"/>
      <c r="F75" s="501"/>
      <c r="G75" s="501"/>
      <c r="H75" s="501"/>
      <c r="I75" s="501"/>
      <c r="J75" s="501"/>
      <c r="K75" s="501"/>
      <c r="L75" s="501"/>
      <c r="M75" s="501"/>
      <c r="N75" s="501"/>
    </row>
    <row r="76" spans="1:14" ht="13.5" thickBo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 t="s">
        <v>3</v>
      </c>
    </row>
    <row r="77" spans="1:14" ht="13.5" thickBot="1">
      <c r="A77" s="688"/>
      <c r="B77" s="688"/>
      <c r="C77" s="688"/>
      <c r="D77" s="688"/>
      <c r="E77" s="688"/>
      <c r="F77" s="688"/>
      <c r="G77" s="688"/>
      <c r="H77" s="688"/>
      <c r="I77" s="688"/>
      <c r="J77" s="688"/>
      <c r="K77" s="688"/>
      <c r="L77" s="688"/>
      <c r="M77" s="689"/>
      <c r="N77" s="228">
        <f>M78</f>
        <v>316807.74</v>
      </c>
    </row>
    <row r="78" spans="1:14" ht="13.5" thickBot="1">
      <c r="A78" s="262">
        <v>0.302</v>
      </c>
      <c r="B78" s="258"/>
      <c r="C78" s="258"/>
      <c r="D78" s="258"/>
      <c r="E78" s="258"/>
      <c r="F78" s="259"/>
      <c r="G78" s="258"/>
      <c r="H78" s="258"/>
      <c r="I78" s="258"/>
      <c r="J78" s="258"/>
      <c r="K78" s="258"/>
      <c r="L78" s="258" t="s">
        <v>2</v>
      </c>
      <c r="M78" s="260">
        <v>316807.74</v>
      </c>
      <c r="N78" s="261"/>
    </row>
    <row r="79" spans="1:14" ht="12.75">
      <c r="A79" s="500" t="s">
        <v>45</v>
      </c>
      <c r="B79" s="500"/>
      <c r="C79" s="500"/>
      <c r="D79" s="500"/>
      <c r="E79" s="500"/>
      <c r="F79" s="500"/>
      <c r="G79" s="500"/>
      <c r="H79" s="500"/>
      <c r="I79" s="500"/>
      <c r="J79" s="500"/>
      <c r="K79" s="500"/>
      <c r="L79" s="500"/>
      <c r="M79" s="500"/>
      <c r="N79" s="500"/>
    </row>
    <row r="80" spans="1:14" ht="12.75">
      <c r="A80" s="501" t="s">
        <v>56</v>
      </c>
      <c r="B80" s="501"/>
      <c r="C80" s="501"/>
      <c r="D80" s="501"/>
      <c r="E80" s="501"/>
      <c r="F80" s="501"/>
      <c r="G80" s="501"/>
      <c r="H80" s="501"/>
      <c r="I80" s="501"/>
      <c r="J80" s="501"/>
      <c r="K80" s="501"/>
      <c r="L80" s="501"/>
      <c r="M80" s="501"/>
      <c r="N80" s="501"/>
    </row>
    <row r="81" spans="1:14" ht="12.75">
      <c r="A81" s="501" t="s">
        <v>80</v>
      </c>
      <c r="B81" s="501"/>
      <c r="C81" s="501"/>
      <c r="D81" s="501"/>
      <c r="E81" s="501"/>
      <c r="F81" s="501"/>
      <c r="G81" s="501"/>
      <c r="H81" s="501"/>
      <c r="I81" s="501"/>
      <c r="J81" s="501"/>
      <c r="K81" s="501"/>
      <c r="L81" s="501"/>
      <c r="M81" s="501"/>
      <c r="N81" s="501"/>
    </row>
    <row r="82" spans="1:14" ht="13.5" thickBo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 t="s">
        <v>3</v>
      </c>
    </row>
    <row r="83" spans="1:14" ht="13.5" thickBot="1">
      <c r="A83" s="688"/>
      <c r="B83" s="688"/>
      <c r="C83" s="688"/>
      <c r="D83" s="688"/>
      <c r="E83" s="688"/>
      <c r="F83" s="688"/>
      <c r="G83" s="688"/>
      <c r="H83" s="688"/>
      <c r="I83" s="688"/>
      <c r="J83" s="688"/>
      <c r="K83" s="688"/>
      <c r="L83" s="688"/>
      <c r="M83" s="689"/>
      <c r="N83" s="228">
        <f>M85+M87+M88+M89+M93+M104+M97+M99+M90+M91+M100+M101+M102+M103+M86+M94</f>
        <v>123882.42000000001</v>
      </c>
    </row>
    <row r="84" spans="1:14" ht="13.5" hidden="1" thickBot="1">
      <c r="A84" s="408"/>
      <c r="B84" s="408"/>
      <c r="C84" s="408"/>
      <c r="D84" s="408"/>
      <c r="E84" s="408"/>
      <c r="F84" s="408"/>
      <c r="G84" s="408"/>
      <c r="H84" s="408"/>
      <c r="I84" s="408"/>
      <c r="J84" s="408"/>
      <c r="K84" s="408"/>
      <c r="L84" s="408"/>
      <c r="M84" s="408"/>
      <c r="N84" s="423"/>
    </row>
    <row r="85" spans="1:14" ht="12.75">
      <c r="A85" s="424" t="s">
        <v>218</v>
      </c>
      <c r="B85" s="42"/>
      <c r="C85" s="42"/>
      <c r="D85" s="42"/>
      <c r="E85" s="42"/>
      <c r="F85" s="42"/>
      <c r="G85" s="42"/>
      <c r="H85" s="42"/>
      <c r="I85" s="42"/>
      <c r="J85" s="42"/>
      <c r="K85" s="17"/>
      <c r="L85" s="17"/>
      <c r="M85" s="126">
        <v>8000</v>
      </c>
      <c r="N85" s="74"/>
    </row>
    <row r="86" spans="1:14" ht="12.75">
      <c r="A86" s="425" t="s">
        <v>307</v>
      </c>
      <c r="B86" s="52"/>
      <c r="C86" s="52"/>
      <c r="D86" s="52"/>
      <c r="E86" s="52"/>
      <c r="F86" s="52"/>
      <c r="G86" s="52"/>
      <c r="H86" s="52"/>
      <c r="I86" s="52"/>
      <c r="J86" s="52"/>
      <c r="K86" s="2"/>
      <c r="L86" s="2"/>
      <c r="M86" s="202">
        <v>4800</v>
      </c>
      <c r="N86" s="40"/>
    </row>
    <row r="87" spans="1:14" ht="12.75">
      <c r="A87" s="596" t="s">
        <v>219</v>
      </c>
      <c r="B87" s="505"/>
      <c r="C87" s="505"/>
      <c r="D87" s="505"/>
      <c r="E87" s="505"/>
      <c r="F87" s="505"/>
      <c r="G87" s="505"/>
      <c r="H87" s="505"/>
      <c r="I87" s="505"/>
      <c r="J87" s="505"/>
      <c r="K87" s="505"/>
      <c r="L87" s="505"/>
      <c r="M87" s="202">
        <v>1500</v>
      </c>
      <c r="N87" s="40"/>
    </row>
    <row r="88" spans="1:14" ht="12.75">
      <c r="A88" s="85" t="s">
        <v>220</v>
      </c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344">
        <v>6000</v>
      </c>
      <c r="N88" s="40"/>
    </row>
    <row r="89" spans="1:14" ht="12.75">
      <c r="A89" s="85" t="s">
        <v>221</v>
      </c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344">
        <f>99805.33-3500-34869.86-855-4800</f>
        <v>55780.47</v>
      </c>
      <c r="N89" s="40"/>
    </row>
    <row r="90" spans="1:14" ht="12.75">
      <c r="A90" s="85" t="s">
        <v>315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344">
        <v>6850</v>
      </c>
      <c r="N90" s="40"/>
    </row>
    <row r="91" spans="1:14" ht="12.75">
      <c r="A91" s="85" t="s">
        <v>312</v>
      </c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344">
        <v>6870.1</v>
      </c>
      <c r="N91" s="40"/>
    </row>
    <row r="92" spans="1:14" ht="12.75">
      <c r="A92" s="85" t="s">
        <v>222</v>
      </c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344"/>
      <c r="N92" s="40"/>
    </row>
    <row r="93" spans="1:14" ht="12.75">
      <c r="A93" s="85" t="s">
        <v>223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344">
        <v>1448.75</v>
      </c>
      <c r="N93" s="40"/>
    </row>
    <row r="94" spans="1:14" ht="12.75">
      <c r="A94" s="85" t="s">
        <v>371</v>
      </c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344">
        <v>855</v>
      </c>
      <c r="N94" s="40"/>
    </row>
    <row r="95" spans="1:14" ht="12.75">
      <c r="A95" s="85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344"/>
      <c r="N95" s="40"/>
    </row>
    <row r="96" spans="1:14" ht="12.75">
      <c r="A96" s="85" t="s">
        <v>222</v>
      </c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344"/>
      <c r="N96" s="40"/>
    </row>
    <row r="97" spans="1:14" ht="12.75">
      <c r="A97" s="85" t="s">
        <v>308</v>
      </c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344">
        <v>3960.27</v>
      </c>
      <c r="N97" s="40"/>
    </row>
    <row r="98" spans="1:14" ht="12.75">
      <c r="A98" s="85" t="s">
        <v>222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344"/>
      <c r="N98" s="40"/>
    </row>
    <row r="99" spans="1:14" ht="12.75">
      <c r="A99" s="85" t="s">
        <v>309</v>
      </c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344">
        <v>1448.75</v>
      </c>
      <c r="N99" s="40"/>
    </row>
    <row r="100" spans="1:14" ht="12.75">
      <c r="A100" s="85" t="s">
        <v>310</v>
      </c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344">
        <v>918.84</v>
      </c>
      <c r="N100" s="40"/>
    </row>
    <row r="101" spans="1:14" ht="12.75">
      <c r="A101" s="85" t="s">
        <v>311</v>
      </c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344">
        <v>2450.24</v>
      </c>
      <c r="N101" s="40"/>
    </row>
    <row r="102" spans="1:14" ht="12.75">
      <c r="A102" s="85" t="s">
        <v>313</v>
      </c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344">
        <v>3000</v>
      </c>
      <c r="N102" s="40"/>
    </row>
    <row r="103" spans="1:14" ht="12.75">
      <c r="A103" s="85" t="s">
        <v>314</v>
      </c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344">
        <v>12000</v>
      </c>
      <c r="N103" s="40"/>
    </row>
    <row r="104" spans="1:14" ht="13.5" thickBot="1">
      <c r="A104" s="174" t="s">
        <v>290</v>
      </c>
      <c r="B104" s="175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203">
        <v>8000</v>
      </c>
      <c r="N104" s="80"/>
    </row>
    <row r="105" spans="1:14" ht="12.75">
      <c r="A105" s="500" t="s">
        <v>162</v>
      </c>
      <c r="B105" s="500"/>
      <c r="C105" s="500"/>
      <c r="D105" s="500"/>
      <c r="E105" s="500"/>
      <c r="F105" s="500"/>
      <c r="G105" s="500"/>
      <c r="H105" s="500"/>
      <c r="I105" s="500"/>
      <c r="J105" s="500"/>
      <c r="K105" s="500"/>
      <c r="L105" s="500"/>
      <c r="M105" s="500"/>
      <c r="N105" s="500"/>
    </row>
    <row r="106" spans="1:14" ht="12.75">
      <c r="A106" s="501" t="s">
        <v>33</v>
      </c>
      <c r="B106" s="501"/>
      <c r="C106" s="501"/>
      <c r="D106" s="501"/>
      <c r="E106" s="501"/>
      <c r="F106" s="501"/>
      <c r="G106" s="501"/>
      <c r="H106" s="501"/>
      <c r="I106" s="501"/>
      <c r="J106" s="501"/>
      <c r="K106" s="501"/>
      <c r="L106" s="501"/>
      <c r="M106" s="501"/>
      <c r="N106" s="501"/>
    </row>
    <row r="107" spans="1:14" ht="13.5" thickBo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8" t="s">
        <v>3</v>
      </c>
    </row>
    <row r="108" spans="1:15" ht="13.5" thickBot="1">
      <c r="A108" s="686"/>
      <c r="B108" s="686"/>
      <c r="C108" s="686"/>
      <c r="D108" s="686"/>
      <c r="E108" s="686"/>
      <c r="F108" s="686"/>
      <c r="G108" s="686"/>
      <c r="H108" s="686"/>
      <c r="I108" s="686"/>
      <c r="J108" s="686"/>
      <c r="K108" s="686"/>
      <c r="L108" s="686"/>
      <c r="M108" s="687"/>
      <c r="N108" s="225">
        <f>SUM(M110:M126)</f>
        <v>76264</v>
      </c>
      <c r="O108" s="430"/>
    </row>
    <row r="109" spans="1:14" ht="12.75">
      <c r="A109" s="491" t="s">
        <v>224</v>
      </c>
      <c r="B109" s="49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74"/>
    </row>
    <row r="110" spans="1:14" ht="12.75">
      <c r="A110" s="82" t="s">
        <v>225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93">
        <v>6518</v>
      </c>
      <c r="N110" s="76"/>
    </row>
    <row r="111" spans="1:14" ht="12.75">
      <c r="A111" s="353" t="s">
        <v>224</v>
      </c>
      <c r="B111" s="38"/>
      <c r="C111" s="38"/>
      <c r="D111" s="38"/>
      <c r="E111" s="38"/>
      <c r="F111" s="4"/>
      <c r="G111" s="4"/>
      <c r="H111" s="38"/>
      <c r="I111" s="38"/>
      <c r="J111" s="38"/>
      <c r="K111" s="38"/>
      <c r="L111" s="38"/>
      <c r="M111" s="494"/>
      <c r="N111" s="40"/>
    </row>
    <row r="112" spans="1:14" ht="12.75">
      <c r="A112" s="353" t="s">
        <v>386</v>
      </c>
      <c r="B112" s="38"/>
      <c r="C112" s="38"/>
      <c r="D112" s="38"/>
      <c r="E112" s="38"/>
      <c r="F112" s="4"/>
      <c r="G112" s="4"/>
      <c r="H112" s="38"/>
      <c r="I112" s="38"/>
      <c r="J112" s="38"/>
      <c r="K112" s="38"/>
      <c r="L112" s="38"/>
      <c r="M112" s="494">
        <v>3400</v>
      </c>
      <c r="N112" s="40"/>
    </row>
    <row r="113" spans="1:14" ht="12.75">
      <c r="A113" s="37" t="s">
        <v>226</v>
      </c>
      <c r="B113" s="38"/>
      <c r="C113" s="38"/>
      <c r="D113" s="38"/>
      <c r="E113" s="39"/>
      <c r="F113" s="4"/>
      <c r="G113" s="4"/>
      <c r="H113" s="39"/>
      <c r="I113" s="39"/>
      <c r="J113" s="39"/>
      <c r="K113" s="39"/>
      <c r="L113" s="39"/>
      <c r="M113" s="495">
        <v>678.16</v>
      </c>
      <c r="N113" s="40"/>
    </row>
    <row r="114" spans="1:14" ht="12.75">
      <c r="A114" s="82" t="s">
        <v>227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93">
        <v>2600</v>
      </c>
      <c r="N114" s="76">
        <f>M115</f>
        <v>0</v>
      </c>
    </row>
    <row r="115" spans="1:14" ht="12.75">
      <c r="A115" s="37" t="s">
        <v>228</v>
      </c>
      <c r="B115" s="38"/>
      <c r="C115" s="38"/>
      <c r="D115" s="38"/>
      <c r="E115" s="39"/>
      <c r="F115" s="4"/>
      <c r="G115" s="4"/>
      <c r="H115" s="39"/>
      <c r="I115" s="39"/>
      <c r="J115" s="39"/>
      <c r="K115" s="39"/>
      <c r="L115" s="39"/>
      <c r="M115" s="495"/>
      <c r="N115" s="40"/>
    </row>
    <row r="116" spans="1:14" ht="12.75">
      <c r="A116" s="346">
        <v>42383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93">
        <v>6587.5</v>
      </c>
      <c r="N116" s="76"/>
    </row>
    <row r="117" spans="1:14" ht="12.75">
      <c r="A117" s="347" t="s">
        <v>229</v>
      </c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494">
        <v>1000</v>
      </c>
      <c r="N117" s="40"/>
    </row>
    <row r="118" spans="1:14" ht="12.75">
      <c r="A118" s="347" t="s">
        <v>230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494">
        <v>2200</v>
      </c>
      <c r="N118" s="40"/>
    </row>
    <row r="119" spans="1:14" ht="12.75">
      <c r="A119" s="347" t="s">
        <v>231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494"/>
      <c r="N119" s="40"/>
    </row>
    <row r="120" spans="1:14" ht="12.75">
      <c r="A120" s="347">
        <v>42425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494">
        <v>2500</v>
      </c>
      <c r="N120" s="40"/>
    </row>
    <row r="121" spans="1:14" ht="12.75">
      <c r="A121" s="347" t="s">
        <v>388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494">
        <v>2460</v>
      </c>
      <c r="N121" s="40"/>
    </row>
    <row r="122" spans="1:14" ht="12.75">
      <c r="A122" s="347" t="s">
        <v>297</v>
      </c>
      <c r="B122" s="38"/>
      <c r="C122" s="38"/>
      <c r="D122" s="38"/>
      <c r="E122" s="38"/>
      <c r="F122" s="38"/>
      <c r="G122" s="38" t="s">
        <v>298</v>
      </c>
      <c r="H122" s="38"/>
      <c r="I122" s="38"/>
      <c r="J122" s="38"/>
      <c r="K122" s="38"/>
      <c r="L122" s="38"/>
      <c r="M122" s="494">
        <f>12908.76+3500</f>
        <v>16408.760000000002</v>
      </c>
      <c r="N122" s="40"/>
    </row>
    <row r="123" spans="1:14" ht="12.75">
      <c r="A123" s="347" t="s">
        <v>387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494">
        <v>11478.76</v>
      </c>
      <c r="N123" s="40"/>
    </row>
    <row r="124" spans="1:14" ht="12.75">
      <c r="A124" s="347" t="s">
        <v>389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494">
        <v>2702.82</v>
      </c>
      <c r="N124" s="40"/>
    </row>
    <row r="125" spans="1:14" ht="12.75">
      <c r="A125" s="347" t="s">
        <v>385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494">
        <v>5000</v>
      </c>
      <c r="N125" s="40"/>
    </row>
    <row r="126" spans="1:14" ht="13.5" thickBot="1">
      <c r="A126" s="10" t="s">
        <v>200</v>
      </c>
      <c r="B126" s="26"/>
      <c r="C126" s="26"/>
      <c r="D126" s="26"/>
      <c r="E126" s="11"/>
      <c r="F126" s="26"/>
      <c r="G126" s="26"/>
      <c r="H126" s="11"/>
      <c r="I126" s="11"/>
      <c r="J126" s="11"/>
      <c r="K126" s="11"/>
      <c r="L126" s="11"/>
      <c r="M126" s="496">
        <v>12730</v>
      </c>
      <c r="N126" s="80"/>
    </row>
    <row r="127" spans="1:14" ht="12.75">
      <c r="A127" s="500" t="s">
        <v>37</v>
      </c>
      <c r="B127" s="500"/>
      <c r="C127" s="500"/>
      <c r="D127" s="500"/>
      <c r="E127" s="500"/>
      <c r="F127" s="500"/>
      <c r="G127" s="500"/>
      <c r="H127" s="500"/>
      <c r="I127" s="500"/>
      <c r="J127" s="500"/>
      <c r="K127" s="500"/>
      <c r="L127" s="500"/>
      <c r="M127" s="500"/>
      <c r="N127" s="500"/>
    </row>
    <row r="128" spans="1:14" ht="12.75">
      <c r="A128" s="501" t="s">
        <v>38</v>
      </c>
      <c r="B128" s="501"/>
      <c r="C128" s="501"/>
      <c r="D128" s="501"/>
      <c r="E128" s="501"/>
      <c r="F128" s="501"/>
      <c r="G128" s="501"/>
      <c r="H128" s="501"/>
      <c r="I128" s="501"/>
      <c r="J128" s="501"/>
      <c r="K128" s="501"/>
      <c r="L128" s="501"/>
      <c r="M128" s="501"/>
      <c r="N128" s="501"/>
    </row>
    <row r="129" spans="1:14" ht="12.75">
      <c r="A129" s="501" t="s">
        <v>80</v>
      </c>
      <c r="B129" s="501"/>
      <c r="C129" s="501"/>
      <c r="D129" s="501"/>
      <c r="E129" s="501"/>
      <c r="F129" s="501"/>
      <c r="G129" s="501"/>
      <c r="H129" s="501"/>
      <c r="I129" s="501"/>
      <c r="J129" s="501"/>
      <c r="K129" s="501"/>
      <c r="L129" s="501"/>
      <c r="M129" s="501"/>
      <c r="N129" s="501"/>
    </row>
    <row r="130" spans="1:14" ht="13.5" thickBo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 t="s">
        <v>3</v>
      </c>
    </row>
    <row r="131" spans="1:14" ht="13.5" thickBot="1">
      <c r="A131" s="688"/>
      <c r="B131" s="688"/>
      <c r="C131" s="688"/>
      <c r="D131" s="688"/>
      <c r="E131" s="688"/>
      <c r="F131" s="688"/>
      <c r="G131" s="688"/>
      <c r="H131" s="688"/>
      <c r="I131" s="688"/>
      <c r="J131" s="688"/>
      <c r="K131" s="688"/>
      <c r="L131" s="688"/>
      <c r="M131" s="689"/>
      <c r="N131" s="228">
        <f>M132</f>
        <v>3500</v>
      </c>
    </row>
    <row r="132" spans="1:14" ht="13.5" thickBot="1">
      <c r="A132" s="262" t="s">
        <v>306</v>
      </c>
      <c r="B132" s="258"/>
      <c r="C132" s="258"/>
      <c r="D132" s="258"/>
      <c r="E132" s="258"/>
      <c r="F132" s="259"/>
      <c r="G132" s="258"/>
      <c r="H132" s="258"/>
      <c r="I132" s="258"/>
      <c r="J132" s="258"/>
      <c r="K132" s="258"/>
      <c r="L132" s="258" t="s">
        <v>2</v>
      </c>
      <c r="M132" s="260">
        <v>3500</v>
      </c>
      <c r="N132" s="261"/>
    </row>
    <row r="133" spans="1:14" ht="12.75">
      <c r="A133" s="2"/>
      <c r="B133" s="420"/>
      <c r="C133" s="420"/>
      <c r="D133" s="420"/>
      <c r="E133" s="2"/>
      <c r="F133" s="420"/>
      <c r="G133" s="420"/>
      <c r="H133" s="2"/>
      <c r="I133" s="2"/>
      <c r="J133" s="2"/>
      <c r="K133" s="2"/>
      <c r="L133" s="2"/>
      <c r="M133" s="34"/>
      <c r="N133" s="34"/>
    </row>
    <row r="134" spans="1:14" ht="12.75">
      <c r="A134" s="2"/>
      <c r="B134" s="420"/>
      <c r="C134" s="420"/>
      <c r="D134" s="420"/>
      <c r="E134" s="2"/>
      <c r="F134" s="420"/>
      <c r="G134" s="420"/>
      <c r="H134" s="2"/>
      <c r="I134" s="2"/>
      <c r="J134" s="2"/>
      <c r="K134" s="2"/>
      <c r="L134" s="2"/>
      <c r="M134" s="34"/>
      <c r="N134" s="34"/>
    </row>
    <row r="135" spans="1:14" ht="12.75">
      <c r="A135" s="500" t="s">
        <v>163</v>
      </c>
      <c r="B135" s="500"/>
      <c r="C135" s="500"/>
      <c r="D135" s="500"/>
      <c r="E135" s="500"/>
      <c r="F135" s="500"/>
      <c r="G135" s="500"/>
      <c r="H135" s="500"/>
      <c r="I135" s="500"/>
      <c r="J135" s="500"/>
      <c r="K135" s="500"/>
      <c r="L135" s="500"/>
      <c r="M135" s="500"/>
      <c r="N135" s="500"/>
    </row>
    <row r="136" spans="1:14" ht="12.75">
      <c r="A136" s="501" t="s">
        <v>164</v>
      </c>
      <c r="B136" s="501"/>
      <c r="C136" s="501"/>
      <c r="D136" s="501"/>
      <c r="E136" s="501"/>
      <c r="F136" s="501"/>
      <c r="G136" s="501"/>
      <c r="H136" s="501"/>
      <c r="I136" s="501"/>
      <c r="J136" s="501"/>
      <c r="K136" s="501"/>
      <c r="L136" s="501"/>
      <c r="M136" s="501"/>
      <c r="N136" s="501"/>
    </row>
    <row r="137" spans="1:14" ht="13.5" thickBo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 t="s">
        <v>3</v>
      </c>
    </row>
    <row r="138" spans="1:14" ht="13.5" thickBot="1">
      <c r="A138" s="688"/>
      <c r="B138" s="688"/>
      <c r="C138" s="688"/>
      <c r="D138" s="688"/>
      <c r="E138" s="688"/>
      <c r="F138" s="688"/>
      <c r="G138" s="688"/>
      <c r="H138" s="688"/>
      <c r="I138" s="688"/>
      <c r="J138" s="688"/>
      <c r="K138" s="688"/>
      <c r="L138" s="688"/>
      <c r="M138" s="688"/>
      <c r="N138" s="225">
        <f>N139+N140+N141+N143+N142</f>
        <v>238713.58000000002</v>
      </c>
    </row>
    <row r="139" spans="1:14" ht="12.75">
      <c r="A139" s="18" t="s">
        <v>232</v>
      </c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81">
        <v>88264</v>
      </c>
      <c r="N139" s="208">
        <f>M139</f>
        <v>88264</v>
      </c>
    </row>
    <row r="140" spans="1:14" ht="12.75">
      <c r="A140" s="82" t="s">
        <v>233</v>
      </c>
      <c r="B140" s="4"/>
      <c r="C140" s="4"/>
      <c r="D140" s="4"/>
      <c r="E140" s="4"/>
      <c r="F140" s="4"/>
      <c r="G140" s="4"/>
      <c r="H140" s="4"/>
      <c r="I140" s="2"/>
      <c r="J140" s="690"/>
      <c r="K140" s="690"/>
      <c r="L140" s="2"/>
      <c r="M140" s="34">
        <v>33999</v>
      </c>
      <c r="N140" s="209">
        <f>M140</f>
        <v>33999</v>
      </c>
    </row>
    <row r="141" spans="1:14" ht="12.75">
      <c r="A141" s="82" t="s">
        <v>234</v>
      </c>
      <c r="B141" s="36"/>
      <c r="C141" s="83"/>
      <c r="D141" s="4"/>
      <c r="E141" s="348"/>
      <c r="F141" s="348"/>
      <c r="G141" s="348"/>
      <c r="H141" s="4"/>
      <c r="I141" s="3"/>
      <c r="J141" s="3"/>
      <c r="K141" s="3"/>
      <c r="L141" s="3"/>
      <c r="M141" s="35">
        <v>27608</v>
      </c>
      <c r="N141" s="209">
        <f>M141</f>
        <v>27608</v>
      </c>
    </row>
    <row r="142" spans="1:14" ht="12.75">
      <c r="A142" s="353" t="s">
        <v>392</v>
      </c>
      <c r="B142" s="349"/>
      <c r="C142" s="350"/>
      <c r="D142" s="38"/>
      <c r="E142" s="351"/>
      <c r="F142" s="351"/>
      <c r="G142" s="351"/>
      <c r="H142" s="38"/>
      <c r="I142" s="39"/>
      <c r="J142" s="39"/>
      <c r="K142" s="39"/>
      <c r="L142" s="39"/>
      <c r="M142" s="497">
        <v>39000</v>
      </c>
      <c r="N142" s="352">
        <f>M142</f>
        <v>39000</v>
      </c>
    </row>
    <row r="143" spans="1:14" ht="13.5" thickBot="1">
      <c r="A143" s="27" t="s">
        <v>235</v>
      </c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11"/>
      <c r="M143" s="176">
        <f>49842.58+64000-25000-39000</f>
        <v>49842.58</v>
      </c>
      <c r="N143" s="164">
        <f>M143</f>
        <v>49842.58</v>
      </c>
    </row>
    <row r="144" spans="1:14" ht="12.75">
      <c r="A144" s="500" t="s">
        <v>165</v>
      </c>
      <c r="B144" s="500"/>
      <c r="C144" s="500"/>
      <c r="D144" s="500"/>
      <c r="E144" s="500"/>
      <c r="F144" s="500"/>
      <c r="G144" s="500"/>
      <c r="H144" s="500"/>
      <c r="I144" s="500"/>
      <c r="J144" s="500"/>
      <c r="K144" s="500"/>
      <c r="L144" s="500"/>
      <c r="M144" s="500"/>
      <c r="N144" s="500"/>
    </row>
    <row r="145" spans="1:14" ht="12.75">
      <c r="A145" s="501" t="s">
        <v>11</v>
      </c>
      <c r="B145" s="501"/>
      <c r="C145" s="501"/>
      <c r="D145" s="501"/>
      <c r="E145" s="501"/>
      <c r="F145" s="501"/>
      <c r="G145" s="501"/>
      <c r="H145" s="501"/>
      <c r="I145" s="501"/>
      <c r="J145" s="501"/>
      <c r="K145" s="501"/>
      <c r="L145" s="501"/>
      <c r="M145" s="501"/>
      <c r="N145" s="501"/>
    </row>
    <row r="146" spans="1:14" ht="13.5" thickBo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 t="s">
        <v>3</v>
      </c>
    </row>
    <row r="147" spans="1:14" ht="13.5" thickBot="1">
      <c r="A147" s="688"/>
      <c r="B147" s="688"/>
      <c r="C147" s="688"/>
      <c r="D147" s="688"/>
      <c r="E147" s="688"/>
      <c r="F147" s="688"/>
      <c r="G147" s="688"/>
      <c r="H147" s="688"/>
      <c r="I147" s="688"/>
      <c r="J147" s="688"/>
      <c r="K147" s="688"/>
      <c r="L147" s="688"/>
      <c r="M147" s="688"/>
      <c r="N147" s="225">
        <f>SUM(M148:M162)</f>
        <v>143000</v>
      </c>
    </row>
    <row r="148" spans="1:14" ht="12.75">
      <c r="A148" s="18" t="s">
        <v>291</v>
      </c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90">
        <v>3420</v>
      </c>
      <c r="N148" s="208"/>
    </row>
    <row r="149" spans="1:14" ht="12.75">
      <c r="A149" s="82" t="s">
        <v>236</v>
      </c>
      <c r="B149" s="4"/>
      <c r="C149" s="4"/>
      <c r="D149" s="4"/>
      <c r="E149" s="4"/>
      <c r="F149" s="4"/>
      <c r="G149" s="4"/>
      <c r="H149" s="4"/>
      <c r="I149" s="2"/>
      <c r="J149" s="690"/>
      <c r="K149" s="690"/>
      <c r="L149" s="2"/>
      <c r="M149" s="104">
        <v>720</v>
      </c>
      <c r="N149" s="209"/>
    </row>
    <row r="150" spans="1:14" ht="12.75">
      <c r="A150" s="82" t="s">
        <v>397</v>
      </c>
      <c r="B150" s="4"/>
      <c r="C150" s="4"/>
      <c r="D150" s="4"/>
      <c r="E150" s="4"/>
      <c r="F150" s="4"/>
      <c r="G150" s="4"/>
      <c r="H150" s="4"/>
      <c r="I150" s="2"/>
      <c r="J150" s="329"/>
      <c r="K150" s="329"/>
      <c r="L150" s="2"/>
      <c r="M150" s="104">
        <v>17710</v>
      </c>
      <c r="N150" s="209"/>
    </row>
    <row r="151" spans="1:14" ht="12.75">
      <c r="A151" s="82" t="s">
        <v>237</v>
      </c>
      <c r="B151" s="4"/>
      <c r="C151" s="4"/>
      <c r="D151" s="4"/>
      <c r="E151" s="4"/>
      <c r="F151" s="4"/>
      <c r="G151" s="4"/>
      <c r="H151" s="4"/>
      <c r="I151" s="2"/>
      <c r="J151" s="329"/>
      <c r="K151" s="329"/>
      <c r="L151" s="2"/>
      <c r="M151" s="104">
        <v>9855</v>
      </c>
      <c r="N151" s="209"/>
    </row>
    <row r="152" spans="1:14" ht="12.75">
      <c r="A152" s="82" t="s">
        <v>238</v>
      </c>
      <c r="B152" s="4"/>
      <c r="C152" s="4"/>
      <c r="D152" s="4"/>
      <c r="E152" s="4"/>
      <c r="F152" s="4"/>
      <c r="G152" s="4"/>
      <c r="H152" s="4"/>
      <c r="I152" s="2"/>
      <c r="J152" s="329"/>
      <c r="K152" s="329"/>
      <c r="L152" s="2"/>
      <c r="M152" s="104">
        <v>27326</v>
      </c>
      <c r="N152" s="209"/>
    </row>
    <row r="153" spans="1:14" ht="12.75">
      <c r="A153" s="82" t="s">
        <v>239</v>
      </c>
      <c r="B153" s="36"/>
      <c r="C153" s="83"/>
      <c r="D153" s="4"/>
      <c r="E153" s="348"/>
      <c r="F153" s="348"/>
      <c r="G153" s="348"/>
      <c r="H153" s="4"/>
      <c r="I153" s="3"/>
      <c r="J153" s="3"/>
      <c r="K153" s="3"/>
      <c r="L153" s="3"/>
      <c r="M153" s="57">
        <v>4800</v>
      </c>
      <c r="N153" s="209"/>
    </row>
    <row r="154" spans="1:14" ht="12.75">
      <c r="A154" s="353" t="s">
        <v>240</v>
      </c>
      <c r="B154" s="349"/>
      <c r="C154" s="350"/>
      <c r="D154" s="38"/>
      <c r="E154" s="351"/>
      <c r="F154" s="351"/>
      <c r="G154" s="351"/>
      <c r="H154" s="38"/>
      <c r="I154" s="39"/>
      <c r="J154" s="39"/>
      <c r="K154" s="39"/>
      <c r="L154" s="39"/>
      <c r="M154" s="49">
        <v>3198.24</v>
      </c>
      <c r="N154" s="352"/>
    </row>
    <row r="155" spans="1:14" ht="12.75">
      <c r="A155" s="353" t="s">
        <v>398</v>
      </c>
      <c r="B155" s="349"/>
      <c r="C155" s="350"/>
      <c r="D155" s="38"/>
      <c r="E155" s="351"/>
      <c r="F155" s="351"/>
      <c r="G155" s="351"/>
      <c r="H155" s="38"/>
      <c r="I155" s="39"/>
      <c r="J155" s="39"/>
      <c r="K155" s="39"/>
      <c r="L155" s="39"/>
      <c r="M155" s="49">
        <v>3200</v>
      </c>
      <c r="N155" s="352"/>
    </row>
    <row r="156" spans="1:14" ht="12.75">
      <c r="A156" s="353" t="s">
        <v>393</v>
      </c>
      <c r="B156" s="349"/>
      <c r="C156" s="350"/>
      <c r="D156" s="38"/>
      <c r="E156" s="351"/>
      <c r="F156" s="351"/>
      <c r="G156" s="351"/>
      <c r="H156" s="38"/>
      <c r="I156" s="39"/>
      <c r="J156" s="39"/>
      <c r="K156" s="39"/>
      <c r="L156" s="39"/>
      <c r="M156" s="49">
        <v>37200</v>
      </c>
      <c r="N156" s="352"/>
    </row>
    <row r="157" spans="1:14" ht="12.75">
      <c r="A157" s="353" t="s">
        <v>241</v>
      </c>
      <c r="B157" s="349"/>
      <c r="C157" s="350"/>
      <c r="D157" s="38"/>
      <c r="E157" s="351"/>
      <c r="F157" s="351"/>
      <c r="G157" s="351"/>
      <c r="H157" s="38"/>
      <c r="I157" s="39"/>
      <c r="J157" s="39"/>
      <c r="K157" s="39"/>
      <c r="L157" s="39"/>
      <c r="M157" s="49">
        <f>15680.76-6910</f>
        <v>8770.76</v>
      </c>
      <c r="N157" s="352"/>
    </row>
    <row r="158" spans="1:14" ht="12.75">
      <c r="A158" s="353" t="s">
        <v>396</v>
      </c>
      <c r="B158" s="349"/>
      <c r="C158" s="350"/>
      <c r="D158" s="38"/>
      <c r="E158" s="351"/>
      <c r="F158" s="351"/>
      <c r="G158" s="351"/>
      <c r="H158" s="38"/>
      <c r="I158" s="39"/>
      <c r="J158" s="39"/>
      <c r="K158" s="39"/>
      <c r="L158" s="39"/>
      <c r="M158" s="49">
        <v>1800</v>
      </c>
      <c r="N158" s="352"/>
    </row>
    <row r="159" spans="1:14" ht="12.75">
      <c r="A159" s="353" t="s">
        <v>394</v>
      </c>
      <c r="B159" s="349"/>
      <c r="C159" s="350"/>
      <c r="D159" s="38"/>
      <c r="E159" s="351"/>
      <c r="F159" s="351"/>
      <c r="G159" s="351"/>
      <c r="H159" s="38"/>
      <c r="I159" s="39"/>
      <c r="J159" s="39"/>
      <c r="K159" s="39"/>
      <c r="L159" s="39"/>
      <c r="M159" s="49">
        <v>5000</v>
      </c>
      <c r="N159" s="352"/>
    </row>
    <row r="160" spans="1:14" ht="12.75">
      <c r="A160" s="353" t="s">
        <v>395</v>
      </c>
      <c r="B160" s="349"/>
      <c r="C160" s="350"/>
      <c r="D160" s="38"/>
      <c r="E160" s="351"/>
      <c r="F160" s="351"/>
      <c r="G160" s="351"/>
      <c r="H160" s="38"/>
      <c r="I160" s="39"/>
      <c r="J160" s="39"/>
      <c r="K160" s="39"/>
      <c r="L160" s="39"/>
      <c r="M160" s="49">
        <v>5000</v>
      </c>
      <c r="N160" s="352"/>
    </row>
    <row r="161" spans="1:14" ht="12.75" hidden="1">
      <c r="A161" s="353" t="s">
        <v>166</v>
      </c>
      <c r="B161" s="349"/>
      <c r="C161" s="350"/>
      <c r="D161" s="38"/>
      <c r="E161" s="351"/>
      <c r="F161" s="351"/>
      <c r="G161" s="351"/>
      <c r="H161" s="38"/>
      <c r="I161" s="39"/>
      <c r="J161" s="39"/>
      <c r="K161" s="39"/>
      <c r="L161" s="39"/>
      <c r="M161" s="49"/>
      <c r="N161" s="352"/>
    </row>
    <row r="162" spans="1:14" ht="13.5" thickBot="1">
      <c r="A162" s="550" t="s">
        <v>85</v>
      </c>
      <c r="B162" s="551"/>
      <c r="C162" s="551"/>
      <c r="D162" s="551"/>
      <c r="E162" s="551"/>
      <c r="F162" s="551"/>
      <c r="G162" s="551"/>
      <c r="H162" s="551"/>
      <c r="I162" s="551"/>
      <c r="J162" s="551"/>
      <c r="K162" s="551"/>
      <c r="L162" s="11"/>
      <c r="M162" s="498">
        <f>15000</f>
        <v>15000</v>
      </c>
      <c r="N162" s="164"/>
    </row>
    <row r="163" spans="1:14" ht="12.75">
      <c r="A163" s="85"/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2"/>
      <c r="M163" s="210"/>
      <c r="N163" s="211"/>
    </row>
    <row r="164" spans="1:14" ht="12.75">
      <c r="A164" s="177"/>
      <c r="B164" s="177"/>
      <c r="C164" s="177"/>
      <c r="D164" s="177"/>
      <c r="E164" s="177"/>
      <c r="F164" s="177"/>
      <c r="G164" s="177"/>
      <c r="H164" s="33"/>
      <c r="I164" s="2"/>
      <c r="J164" s="178"/>
      <c r="K164" s="179"/>
      <c r="L164" s="2"/>
      <c r="M164" s="34"/>
      <c r="N164" s="2"/>
    </row>
    <row r="165" spans="1:11" ht="12.75">
      <c r="A165" s="544" t="s">
        <v>69</v>
      </c>
      <c r="B165" s="544"/>
      <c r="C165" s="180"/>
      <c r="D165" s="181"/>
      <c r="E165" s="182"/>
      <c r="F165" s="182"/>
      <c r="G165" s="182"/>
      <c r="H165" s="692" t="s">
        <v>70</v>
      </c>
      <c r="I165" s="692"/>
      <c r="J165" s="692"/>
      <c r="K165" s="692"/>
    </row>
    <row r="166" spans="1:9" ht="12.75">
      <c r="A166" s="167"/>
      <c r="B166" s="167"/>
      <c r="C166" s="167"/>
      <c r="H166" s="166" t="s">
        <v>5</v>
      </c>
      <c r="I166" s="167"/>
    </row>
    <row r="167" spans="1:9" ht="12.75">
      <c r="A167" s="167"/>
      <c r="B167" s="167"/>
      <c r="C167" s="183"/>
      <c r="D167" s="184"/>
      <c r="E167" s="184"/>
      <c r="F167" s="184"/>
      <c r="H167" s="167"/>
      <c r="I167" s="167"/>
    </row>
    <row r="168" spans="1:11" ht="12.75">
      <c r="A168" s="544" t="s">
        <v>71</v>
      </c>
      <c r="B168" s="544"/>
      <c r="C168" s="182"/>
      <c r="D168" s="182"/>
      <c r="E168" s="182"/>
      <c r="F168" s="182"/>
      <c r="G168" s="182"/>
      <c r="H168" s="691" t="s">
        <v>161</v>
      </c>
      <c r="I168" s="691"/>
      <c r="J168" s="691"/>
      <c r="K168" s="691"/>
    </row>
    <row r="169" ht="12.75">
      <c r="H169" s="166" t="s">
        <v>5</v>
      </c>
    </row>
  </sheetData>
  <sheetProtection/>
  <mergeCells count="73">
    <mergeCell ref="J140:K140"/>
    <mergeCell ref="A144:N144"/>
    <mergeCell ref="A168:B168"/>
    <mergeCell ref="H168:K168"/>
    <mergeCell ref="A145:N145"/>
    <mergeCell ref="A147:M147"/>
    <mergeCell ref="J149:K149"/>
    <mergeCell ref="A162:K162"/>
    <mergeCell ref="A165:B165"/>
    <mergeCell ref="H165:K165"/>
    <mergeCell ref="A106:N106"/>
    <mergeCell ref="A108:M108"/>
    <mergeCell ref="A135:N135"/>
    <mergeCell ref="A136:N136"/>
    <mergeCell ref="A138:M138"/>
    <mergeCell ref="A127:N127"/>
    <mergeCell ref="A128:N128"/>
    <mergeCell ref="A129:N129"/>
    <mergeCell ref="A131:M131"/>
    <mergeCell ref="A79:N79"/>
    <mergeCell ref="A80:N80"/>
    <mergeCell ref="A81:N81"/>
    <mergeCell ref="A83:M83"/>
    <mergeCell ref="A87:L87"/>
    <mergeCell ref="A105:N105"/>
    <mergeCell ref="A45:N45"/>
    <mergeCell ref="A47:M47"/>
    <mergeCell ref="A73:N73"/>
    <mergeCell ref="A74:N74"/>
    <mergeCell ref="A75:N75"/>
    <mergeCell ref="A77:M77"/>
    <mergeCell ref="A39:M39"/>
    <mergeCell ref="A40:M40"/>
    <mergeCell ref="A41:M41"/>
    <mergeCell ref="A42:N42"/>
    <mergeCell ref="A43:M43"/>
    <mergeCell ref="A44:N44"/>
    <mergeCell ref="A33:M33"/>
    <mergeCell ref="A34:M34"/>
    <mergeCell ref="A35:M35"/>
    <mergeCell ref="A36:M36"/>
    <mergeCell ref="A37:M37"/>
    <mergeCell ref="A38:M38"/>
    <mergeCell ref="A27:M27"/>
    <mergeCell ref="A28:M28"/>
    <mergeCell ref="A29:M29"/>
    <mergeCell ref="A30:M30"/>
    <mergeCell ref="A31:M31"/>
    <mergeCell ref="A32:M32"/>
    <mergeCell ref="A21:M21"/>
    <mergeCell ref="A22:M22"/>
    <mergeCell ref="A23:M23"/>
    <mergeCell ref="A24:M24"/>
    <mergeCell ref="A25:M25"/>
    <mergeCell ref="A26:M26"/>
    <mergeCell ref="A15:M15"/>
    <mergeCell ref="A16:M16"/>
    <mergeCell ref="A17:M17"/>
    <mergeCell ref="A18:M18"/>
    <mergeCell ref="A19:M19"/>
    <mergeCell ref="A20:M20"/>
    <mergeCell ref="A9:M9"/>
    <mergeCell ref="A10:M10"/>
    <mergeCell ref="A11:M11"/>
    <mergeCell ref="A12:M12"/>
    <mergeCell ref="A13:M13"/>
    <mergeCell ref="A14:M14"/>
    <mergeCell ref="A2:N2"/>
    <mergeCell ref="A4:N4"/>
    <mergeCell ref="A5:M5"/>
    <mergeCell ref="A6:M6"/>
    <mergeCell ref="A7:M7"/>
    <mergeCell ref="A8:M8"/>
  </mergeCells>
  <printOptions/>
  <pageMargins left="0.7" right="0.7" top="0.75" bottom="0.75" header="0.3" footer="0.3"/>
  <pageSetup horizontalDpi="600" verticalDpi="600" orientation="portrait" paperSize="9" scale="69" r:id="rId1"/>
  <rowBreaks count="2" manualBreakCount="2">
    <brk id="41" max="255" man="1"/>
    <brk id="12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SheetLayoutView="100" zoomScalePageLayoutView="0" workbookViewId="0" topLeftCell="A1">
      <selection activeCell="M15" sqref="M15"/>
    </sheetView>
  </sheetViews>
  <sheetFormatPr defaultColWidth="9.00390625" defaultRowHeight="12.75"/>
  <cols>
    <col min="1" max="1" width="17.875" style="156" customWidth="1"/>
    <col min="2" max="2" width="21.625" style="156" customWidth="1"/>
    <col min="3" max="3" width="11.25390625" style="156" customWidth="1"/>
    <col min="4" max="4" width="10.625" style="156" customWidth="1"/>
    <col min="5" max="5" width="8.875" style="156" customWidth="1"/>
    <col min="6" max="6" width="11.75390625" style="156" customWidth="1"/>
    <col min="7" max="7" width="11.625" style="156" customWidth="1"/>
    <col min="8" max="8" width="15.375" style="156" customWidth="1"/>
  </cols>
  <sheetData>
    <row r="1" spans="1:8" ht="26.25" customHeight="1">
      <c r="A1" s="671" t="s">
        <v>324</v>
      </c>
      <c r="B1" s="671"/>
      <c r="C1" s="671"/>
      <c r="D1" s="671"/>
      <c r="E1" s="671"/>
      <c r="F1" s="671"/>
      <c r="G1" s="671"/>
      <c r="H1" s="671"/>
    </row>
    <row r="2" spans="1:8" ht="12.75">
      <c r="A2" s="500"/>
      <c r="B2" s="500"/>
      <c r="C2" s="500"/>
      <c r="D2" s="500"/>
      <c r="E2" s="500"/>
      <c r="F2" s="500"/>
      <c r="G2" s="500"/>
      <c r="H2" s="500"/>
    </row>
    <row r="3" spans="1:8" ht="12.75">
      <c r="A3" s="501"/>
      <c r="B3" s="501"/>
      <c r="C3" s="501"/>
      <c r="D3" s="501"/>
      <c r="E3" s="501"/>
      <c r="F3" s="501"/>
      <c r="G3" s="501"/>
      <c r="H3" s="501"/>
    </row>
    <row r="4" spans="1:8" ht="12.75">
      <c r="A4" s="712"/>
      <c r="B4" s="712"/>
      <c r="C4" s="712"/>
      <c r="D4" s="712"/>
      <c r="E4" s="712"/>
      <c r="F4" s="712"/>
      <c r="G4" s="712"/>
      <c r="H4" s="712"/>
    </row>
    <row r="5" spans="1:8" ht="13.5" thickBot="1">
      <c r="A5" s="185"/>
      <c r="B5" s="185"/>
      <c r="C5" s="185"/>
      <c r="D5" s="185"/>
      <c r="E5" s="185"/>
      <c r="F5" s="185"/>
      <c r="G5" s="185"/>
      <c r="H5" s="185"/>
    </row>
    <row r="6" spans="1:8" ht="14.25" thickBot="1">
      <c r="A6" s="713" t="s">
        <v>168</v>
      </c>
      <c r="B6" s="714"/>
      <c r="C6" s="714"/>
      <c r="D6" s="714"/>
      <c r="E6" s="714"/>
      <c r="F6" s="714"/>
      <c r="G6" s="714"/>
      <c r="H6" s="257">
        <f>ROUND(G7+G18,2)+G19</f>
        <v>12728040</v>
      </c>
    </row>
    <row r="7" spans="1:8" ht="12.75">
      <c r="A7" s="715" t="s">
        <v>116</v>
      </c>
      <c r="B7" s="716"/>
      <c r="C7" s="716"/>
      <c r="D7" s="716"/>
      <c r="E7" s="716"/>
      <c r="F7" s="716"/>
      <c r="G7" s="216">
        <v>351157.78</v>
      </c>
      <c r="H7" s="218"/>
    </row>
    <row r="8" spans="1:8" ht="12.75" customHeight="1">
      <c r="A8" s="717" t="s">
        <v>170</v>
      </c>
      <c r="B8" s="718"/>
      <c r="C8" s="186" t="s">
        <v>50</v>
      </c>
      <c r="D8" s="719" t="s">
        <v>51</v>
      </c>
      <c r="E8" s="719"/>
      <c r="F8" s="186" t="s">
        <v>52</v>
      </c>
      <c r="G8" s="205" t="s">
        <v>53</v>
      </c>
      <c r="H8" s="219"/>
    </row>
    <row r="9" spans="1:8" ht="12.75">
      <c r="A9" s="605" t="s">
        <v>108</v>
      </c>
      <c r="B9" s="709"/>
      <c r="C9" s="187">
        <v>138</v>
      </c>
      <c r="D9" s="705">
        <v>70</v>
      </c>
      <c r="E9" s="705"/>
      <c r="F9" s="188">
        <v>246</v>
      </c>
      <c r="G9" s="217">
        <f aca="true" t="shared" si="0" ref="G9:G17">ROUND(C9*D9*F9,2)</f>
        <v>2376360</v>
      </c>
      <c r="H9" s="220"/>
    </row>
    <row r="10" spans="1:8" ht="12.75">
      <c r="A10" s="605" t="s">
        <v>109</v>
      </c>
      <c r="B10" s="709"/>
      <c r="C10" s="187">
        <v>513</v>
      </c>
      <c r="D10" s="710">
        <v>75</v>
      </c>
      <c r="E10" s="711"/>
      <c r="F10" s="188">
        <v>246</v>
      </c>
      <c r="G10" s="217">
        <f>C10*D10*F10</f>
        <v>9464850</v>
      </c>
      <c r="H10" s="220"/>
    </row>
    <row r="11" spans="1:8" ht="12.75">
      <c r="A11" s="605" t="s">
        <v>109</v>
      </c>
      <c r="B11" s="709"/>
      <c r="C11" s="187">
        <v>1</v>
      </c>
      <c r="D11" s="710">
        <v>75</v>
      </c>
      <c r="E11" s="711"/>
      <c r="F11" s="188">
        <v>237.9</v>
      </c>
      <c r="G11" s="217">
        <f>C11*D11*F11-0.28</f>
        <v>17842.22</v>
      </c>
      <c r="H11" s="220"/>
    </row>
    <row r="12" spans="1:8" ht="12.75">
      <c r="A12" s="613" t="s">
        <v>110</v>
      </c>
      <c r="B12" s="722"/>
      <c r="C12" s="189">
        <v>2</v>
      </c>
      <c r="D12" s="705">
        <v>0</v>
      </c>
      <c r="E12" s="705"/>
      <c r="F12" s="188">
        <v>246</v>
      </c>
      <c r="G12" s="217">
        <f>C12*D12*F12</f>
        <v>0</v>
      </c>
      <c r="H12" s="220"/>
    </row>
    <row r="13" spans="1:8" ht="12.75">
      <c r="A13" s="613" t="s">
        <v>111</v>
      </c>
      <c r="B13" s="722"/>
      <c r="C13" s="189">
        <v>8</v>
      </c>
      <c r="D13" s="706">
        <v>0</v>
      </c>
      <c r="E13" s="706"/>
      <c r="F13" s="190">
        <v>246</v>
      </c>
      <c r="G13" s="217">
        <f t="shared" si="0"/>
        <v>0</v>
      </c>
      <c r="H13" s="220"/>
    </row>
    <row r="14" spans="1:8" ht="12.75">
      <c r="A14" s="613" t="s">
        <v>112</v>
      </c>
      <c r="B14" s="722"/>
      <c r="C14" s="189">
        <v>4</v>
      </c>
      <c r="D14" s="706">
        <v>35</v>
      </c>
      <c r="E14" s="706"/>
      <c r="F14" s="190">
        <v>246</v>
      </c>
      <c r="G14" s="217">
        <f t="shared" si="0"/>
        <v>34440</v>
      </c>
      <c r="H14" s="220"/>
    </row>
    <row r="15" spans="1:8" ht="12.75">
      <c r="A15" s="613" t="s">
        <v>113</v>
      </c>
      <c r="B15" s="722"/>
      <c r="C15" s="189">
        <v>8</v>
      </c>
      <c r="D15" s="700">
        <v>37.5</v>
      </c>
      <c r="E15" s="700"/>
      <c r="F15" s="190">
        <v>246</v>
      </c>
      <c r="G15" s="217">
        <f t="shared" si="0"/>
        <v>73800</v>
      </c>
      <c r="H15" s="220"/>
    </row>
    <row r="16" spans="1:8" ht="12.75">
      <c r="A16" s="613" t="s">
        <v>114</v>
      </c>
      <c r="B16" s="722"/>
      <c r="C16" s="189">
        <v>9</v>
      </c>
      <c r="D16" s="701">
        <v>35</v>
      </c>
      <c r="E16" s="701"/>
      <c r="F16" s="190">
        <v>246</v>
      </c>
      <c r="G16" s="217">
        <f t="shared" si="0"/>
        <v>77490</v>
      </c>
      <c r="H16" s="220"/>
    </row>
    <row r="17" spans="1:8" ht="12.75">
      <c r="A17" s="613" t="s">
        <v>115</v>
      </c>
      <c r="B17" s="722"/>
      <c r="C17" s="189">
        <v>36</v>
      </c>
      <c r="D17" s="701">
        <v>37.5</v>
      </c>
      <c r="E17" s="701"/>
      <c r="F17" s="190">
        <v>246</v>
      </c>
      <c r="G17" s="217">
        <f t="shared" si="0"/>
        <v>332100</v>
      </c>
      <c r="H17" s="220"/>
    </row>
    <row r="18" spans="1:8" ht="14.25" thickBot="1">
      <c r="A18" s="725" t="s">
        <v>57</v>
      </c>
      <c r="B18" s="726"/>
      <c r="C18" s="270"/>
      <c r="D18" s="730"/>
      <c r="E18" s="730"/>
      <c r="F18" s="271"/>
      <c r="G18" s="256">
        <f>ROUND(SUM(G9:G17),2)</f>
        <v>12376882.22</v>
      </c>
      <c r="H18" s="221"/>
    </row>
    <row r="19" spans="1:8" ht="13.5" hidden="1" thickBot="1">
      <c r="A19" s="723"/>
      <c r="B19" s="724"/>
      <c r="C19" s="265"/>
      <c r="D19" s="266"/>
      <c r="E19" s="266"/>
      <c r="F19" s="267"/>
      <c r="G19" s="268"/>
      <c r="H19" s="269"/>
    </row>
    <row r="20" spans="1:8" ht="12.75">
      <c r="A20" s="191"/>
      <c r="B20" s="191"/>
      <c r="C20" s="177"/>
      <c r="D20" s="192"/>
      <c r="E20" s="192"/>
      <c r="F20" s="193"/>
      <c r="G20" s="194"/>
      <c r="H20" s="184"/>
    </row>
    <row r="21" spans="1:8" ht="12.75">
      <c r="A21" s="500" t="s">
        <v>10</v>
      </c>
      <c r="B21" s="500"/>
      <c r="C21" s="500"/>
      <c r="D21" s="500"/>
      <c r="E21" s="500"/>
      <c r="F21" s="500"/>
      <c r="G21" s="500"/>
      <c r="H21" s="500"/>
    </row>
    <row r="22" spans="1:8" ht="12.75">
      <c r="A22" s="501" t="s">
        <v>11</v>
      </c>
      <c r="B22" s="501"/>
      <c r="C22" s="501"/>
      <c r="D22" s="501"/>
      <c r="E22" s="501"/>
      <c r="F22" s="501"/>
      <c r="G22" s="501"/>
      <c r="H22" s="501"/>
    </row>
    <row r="23" spans="1:8" ht="12.75">
      <c r="A23" s="712" t="s">
        <v>171</v>
      </c>
      <c r="B23" s="712"/>
      <c r="C23" s="712"/>
      <c r="D23" s="712"/>
      <c r="E23" s="712"/>
      <c r="F23" s="712"/>
      <c r="G23" s="712"/>
      <c r="H23" s="712"/>
    </row>
    <row r="24" spans="1:8" ht="13.5" thickBot="1">
      <c r="A24" s="185"/>
      <c r="B24" s="185"/>
      <c r="C24" s="185"/>
      <c r="D24" s="185"/>
      <c r="E24" s="185"/>
      <c r="F24" s="185"/>
      <c r="G24" s="185"/>
      <c r="H24" s="185" t="s">
        <v>3</v>
      </c>
    </row>
    <row r="25" spans="1:8" ht="14.25" thickBot="1">
      <c r="A25" s="195" t="s">
        <v>86</v>
      </c>
      <c r="B25" s="196"/>
      <c r="C25" s="196"/>
      <c r="D25" s="196"/>
      <c r="E25" s="196"/>
      <c r="F25" s="196"/>
      <c r="G25" s="197"/>
      <c r="H25" s="257">
        <f>G37+G36</f>
        <v>12728040</v>
      </c>
    </row>
    <row r="26" spans="1:8" ht="12.75">
      <c r="A26" s="720"/>
      <c r="B26" s="721"/>
      <c r="C26" s="721"/>
      <c r="D26" s="721"/>
      <c r="E26" s="721"/>
      <c r="F26" s="721"/>
      <c r="G26" s="721"/>
      <c r="H26" s="272"/>
    </row>
    <row r="27" spans="1:8" ht="12.75">
      <c r="A27" s="727" t="s">
        <v>108</v>
      </c>
      <c r="B27" s="728"/>
      <c r="C27" s="187">
        <v>138</v>
      </c>
      <c r="D27" s="705">
        <v>70</v>
      </c>
      <c r="E27" s="705"/>
      <c r="F27" s="188">
        <v>246</v>
      </c>
      <c r="G27" s="217">
        <f>ROUND(C27*D27*F27,2)</f>
        <v>2376360</v>
      </c>
      <c r="H27" s="220"/>
    </row>
    <row r="28" spans="1:8" ht="12.75">
      <c r="A28" s="727" t="s">
        <v>109</v>
      </c>
      <c r="B28" s="728"/>
      <c r="C28" s="187">
        <v>513</v>
      </c>
      <c r="D28" s="705">
        <v>75</v>
      </c>
      <c r="E28" s="705"/>
      <c r="F28" s="188">
        <v>246</v>
      </c>
      <c r="G28" s="217">
        <f>C28*D28*F28</f>
        <v>9464850</v>
      </c>
      <c r="H28" s="220"/>
    </row>
    <row r="29" spans="1:8" ht="12.75">
      <c r="A29" s="727" t="s">
        <v>109</v>
      </c>
      <c r="B29" s="728"/>
      <c r="C29" s="187">
        <v>1</v>
      </c>
      <c r="D29" s="705">
        <v>75</v>
      </c>
      <c r="E29" s="705"/>
      <c r="F29" s="188">
        <v>237.9</v>
      </c>
      <c r="G29" s="217">
        <f>C29*D29*F29-0.28</f>
        <v>17842.22</v>
      </c>
      <c r="H29" s="220"/>
    </row>
    <row r="30" spans="1:8" ht="12.75">
      <c r="A30" s="698" t="s">
        <v>110</v>
      </c>
      <c r="B30" s="699"/>
      <c r="C30" s="189">
        <v>2</v>
      </c>
      <c r="D30" s="705">
        <v>0</v>
      </c>
      <c r="E30" s="705"/>
      <c r="F30" s="188">
        <v>246</v>
      </c>
      <c r="G30" s="217">
        <f>C30*D30*F30</f>
        <v>0</v>
      </c>
      <c r="H30" s="220"/>
    </row>
    <row r="31" spans="1:8" ht="12.75">
      <c r="A31" s="698" t="s">
        <v>111</v>
      </c>
      <c r="B31" s="699"/>
      <c r="C31" s="189">
        <v>8</v>
      </c>
      <c r="D31" s="706">
        <v>0</v>
      </c>
      <c r="E31" s="706"/>
      <c r="F31" s="190">
        <v>246</v>
      </c>
      <c r="G31" s="217">
        <f>ROUND(C31*D31*F31,2)</f>
        <v>0</v>
      </c>
      <c r="H31" s="220"/>
    </row>
    <row r="32" spans="1:8" ht="12.75">
      <c r="A32" s="698" t="s">
        <v>112</v>
      </c>
      <c r="B32" s="699"/>
      <c r="C32" s="189">
        <v>4</v>
      </c>
      <c r="D32" s="706">
        <v>35</v>
      </c>
      <c r="E32" s="706"/>
      <c r="F32" s="190">
        <v>246</v>
      </c>
      <c r="G32" s="217">
        <f>ROUND(C32*D32*F32,2)</f>
        <v>34440</v>
      </c>
      <c r="H32" s="220"/>
    </row>
    <row r="33" spans="1:8" ht="12.75">
      <c r="A33" s="698" t="s">
        <v>113</v>
      </c>
      <c r="B33" s="699"/>
      <c r="C33" s="189">
        <v>8</v>
      </c>
      <c r="D33" s="700">
        <v>37.5</v>
      </c>
      <c r="E33" s="700"/>
      <c r="F33" s="190">
        <v>246</v>
      </c>
      <c r="G33" s="217">
        <f>ROUND(C33*D33*F33,2)</f>
        <v>73800</v>
      </c>
      <c r="H33" s="220"/>
    </row>
    <row r="34" spans="1:8" ht="12.75">
      <c r="A34" s="698" t="s">
        <v>114</v>
      </c>
      <c r="B34" s="699"/>
      <c r="C34" s="189">
        <v>9</v>
      </c>
      <c r="D34" s="701">
        <v>35</v>
      </c>
      <c r="E34" s="701"/>
      <c r="F34" s="190">
        <v>246</v>
      </c>
      <c r="G34" s="217">
        <f>ROUND(C34*D34*F34,2)</f>
        <v>77490</v>
      </c>
      <c r="H34" s="220"/>
    </row>
    <row r="35" spans="1:8" ht="13.5" thickBot="1">
      <c r="A35" s="702" t="s">
        <v>115</v>
      </c>
      <c r="B35" s="703"/>
      <c r="C35" s="275">
        <v>36</v>
      </c>
      <c r="D35" s="704">
        <v>37.5</v>
      </c>
      <c r="E35" s="704"/>
      <c r="F35" s="276">
        <v>246</v>
      </c>
      <c r="G35" s="277">
        <f>ROUND(C35*D35*F35,2)</f>
        <v>332100</v>
      </c>
      <c r="H35" s="220"/>
    </row>
    <row r="36" spans="1:8" ht="14.25" thickBot="1">
      <c r="A36" s="707" t="s">
        <v>172</v>
      </c>
      <c r="B36" s="708"/>
      <c r="C36" s="695"/>
      <c r="D36" s="696"/>
      <c r="E36" s="696"/>
      <c r="F36" s="697"/>
      <c r="G36" s="278">
        <f>SUM(G27:G35)</f>
        <v>12376882.22</v>
      </c>
      <c r="H36" s="273"/>
    </row>
    <row r="37" spans="1:8" ht="14.25" thickBot="1">
      <c r="A37" s="693" t="s">
        <v>169</v>
      </c>
      <c r="B37" s="694"/>
      <c r="C37" s="695"/>
      <c r="D37" s="696"/>
      <c r="E37" s="696"/>
      <c r="F37" s="696"/>
      <c r="G37" s="279">
        <v>351157.78</v>
      </c>
      <c r="H37" s="274"/>
    </row>
    <row r="38" spans="1:8" ht="12.75">
      <c r="A38" s="198"/>
      <c r="B38" s="198"/>
      <c r="C38" s="198"/>
      <c r="D38" s="199"/>
      <c r="E38" s="199"/>
      <c r="F38" s="199"/>
      <c r="G38" s="200"/>
      <c r="H38" s="201"/>
    </row>
    <row r="40" spans="1:8" ht="12.75">
      <c r="A40" s="544" t="s">
        <v>87</v>
      </c>
      <c r="B40" s="544"/>
      <c r="C40" s="166" t="s">
        <v>43</v>
      </c>
      <c r="D40" s="544" t="s">
        <v>12</v>
      </c>
      <c r="E40" s="544"/>
      <c r="F40" s="166"/>
      <c r="G40" s="166"/>
      <c r="H40" s="166"/>
    </row>
    <row r="41" spans="1:8" ht="12.75">
      <c r="A41" s="167"/>
      <c r="B41" s="167"/>
      <c r="C41" s="167"/>
      <c r="D41" s="729" t="s">
        <v>5</v>
      </c>
      <c r="E41" s="729"/>
      <c r="F41" s="167"/>
      <c r="G41" s="167"/>
      <c r="H41" s="167"/>
    </row>
    <row r="42" spans="1:8" ht="12.75">
      <c r="A42" s="167"/>
      <c r="B42" s="167"/>
      <c r="C42" s="167"/>
      <c r="D42" s="167"/>
      <c r="E42" s="167"/>
      <c r="F42" s="167"/>
      <c r="G42" s="167"/>
      <c r="H42" s="167"/>
    </row>
    <row r="43" spans="1:8" ht="12.75">
      <c r="A43" s="544" t="s">
        <v>71</v>
      </c>
      <c r="B43" s="544"/>
      <c r="C43" s="166" t="s">
        <v>43</v>
      </c>
      <c r="D43" s="544" t="s">
        <v>289</v>
      </c>
      <c r="E43" s="544"/>
      <c r="F43" s="166"/>
      <c r="G43" s="166"/>
      <c r="H43" s="166"/>
    </row>
    <row r="44" spans="4:5" ht="12.75">
      <c r="D44" s="729" t="s">
        <v>5</v>
      </c>
      <c r="E44" s="729"/>
    </row>
  </sheetData>
  <sheetProtection/>
  <mergeCells count="61">
    <mergeCell ref="A12:B12"/>
    <mergeCell ref="D12:E12"/>
    <mergeCell ref="A13:B13"/>
    <mergeCell ref="D13:E13"/>
    <mergeCell ref="A14:B14"/>
    <mergeCell ref="D14:E14"/>
    <mergeCell ref="D41:E41"/>
    <mergeCell ref="A43:B43"/>
    <mergeCell ref="D43:E43"/>
    <mergeCell ref="D44:E44"/>
    <mergeCell ref="D18:E18"/>
    <mergeCell ref="A21:H21"/>
    <mergeCell ref="A22:H22"/>
    <mergeCell ref="A29:B29"/>
    <mergeCell ref="D29:E29"/>
    <mergeCell ref="A30:B30"/>
    <mergeCell ref="A17:B17"/>
    <mergeCell ref="D17:E17"/>
    <mergeCell ref="A19:B19"/>
    <mergeCell ref="A18:B18"/>
    <mergeCell ref="A40:B40"/>
    <mergeCell ref="D40:E40"/>
    <mergeCell ref="A27:B27"/>
    <mergeCell ref="D27:E27"/>
    <mergeCell ref="A28:B28"/>
    <mergeCell ref="D28:E28"/>
    <mergeCell ref="A9:B9"/>
    <mergeCell ref="D9:E9"/>
    <mergeCell ref="A10:B10"/>
    <mergeCell ref="D10:E10"/>
    <mergeCell ref="A23:H23"/>
    <mergeCell ref="A26:G26"/>
    <mergeCell ref="A15:B15"/>
    <mergeCell ref="D15:E15"/>
    <mergeCell ref="A16:B16"/>
    <mergeCell ref="D16:E16"/>
    <mergeCell ref="A11:B11"/>
    <mergeCell ref="D11:E11"/>
    <mergeCell ref="A1:H1"/>
    <mergeCell ref="A2:H2"/>
    <mergeCell ref="A3:H3"/>
    <mergeCell ref="A4:H4"/>
    <mergeCell ref="A6:G6"/>
    <mergeCell ref="A7:F7"/>
    <mergeCell ref="A8:B8"/>
    <mergeCell ref="D8:E8"/>
    <mergeCell ref="D30:E30"/>
    <mergeCell ref="A31:B31"/>
    <mergeCell ref="D31:E31"/>
    <mergeCell ref="A32:B32"/>
    <mergeCell ref="D32:E32"/>
    <mergeCell ref="A36:B36"/>
    <mergeCell ref="A37:B37"/>
    <mergeCell ref="C37:F37"/>
    <mergeCell ref="C36:F36"/>
    <mergeCell ref="A33:B33"/>
    <mergeCell ref="D33:E33"/>
    <mergeCell ref="A34:B34"/>
    <mergeCell ref="D34:E34"/>
    <mergeCell ref="A35:B35"/>
    <mergeCell ref="D35:E35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zoomScalePageLayoutView="0" workbookViewId="0" topLeftCell="A1">
      <selection activeCell="O22" sqref="O22"/>
    </sheetView>
  </sheetViews>
  <sheetFormatPr defaultColWidth="9.00390625" defaultRowHeight="12.75"/>
  <cols>
    <col min="1" max="1" width="17.875" style="156" customWidth="1"/>
    <col min="2" max="2" width="21.625" style="156" customWidth="1"/>
    <col min="3" max="3" width="11.25390625" style="156" customWidth="1"/>
    <col min="4" max="4" width="10.625" style="156" customWidth="1"/>
    <col min="5" max="5" width="8.875" style="156" customWidth="1"/>
    <col min="6" max="6" width="11.75390625" style="156" customWidth="1"/>
    <col min="7" max="7" width="11.625" style="156" customWidth="1"/>
    <col min="8" max="8" width="15.375" style="156" customWidth="1"/>
  </cols>
  <sheetData>
    <row r="1" spans="1:8" ht="27" customHeight="1">
      <c r="A1" s="671" t="s">
        <v>324</v>
      </c>
      <c r="B1" s="671"/>
      <c r="C1" s="671"/>
      <c r="D1" s="671"/>
      <c r="E1" s="671"/>
      <c r="F1" s="671"/>
      <c r="G1" s="671"/>
      <c r="H1" s="671"/>
    </row>
    <row r="2" spans="1:8" ht="12.75">
      <c r="A2" s="500"/>
      <c r="B2" s="500"/>
      <c r="C2" s="500"/>
      <c r="D2" s="500"/>
      <c r="E2" s="500"/>
      <c r="F2" s="500"/>
      <c r="G2" s="500"/>
      <c r="H2" s="500"/>
    </row>
    <row r="3" spans="1:8" ht="12.75">
      <c r="A3" s="501"/>
      <c r="B3" s="501"/>
      <c r="C3" s="501"/>
      <c r="D3" s="501"/>
      <c r="E3" s="501"/>
      <c r="F3" s="501"/>
      <c r="G3" s="501"/>
      <c r="H3" s="501"/>
    </row>
    <row r="4" spans="1:8" ht="12.75">
      <c r="A4" s="712"/>
      <c r="B4" s="712"/>
      <c r="C4" s="712"/>
      <c r="D4" s="712"/>
      <c r="E4" s="712"/>
      <c r="F4" s="712"/>
      <c r="G4" s="712"/>
      <c r="H4" s="712"/>
    </row>
    <row r="5" spans="1:8" ht="13.5" thickBot="1">
      <c r="A5" s="185"/>
      <c r="B5" s="185"/>
      <c r="C5" s="185"/>
      <c r="D5" s="185"/>
      <c r="E5" s="185"/>
      <c r="F5" s="185"/>
      <c r="G5" s="185"/>
      <c r="H5" s="185"/>
    </row>
    <row r="6" spans="1:8" ht="14.25" thickBot="1">
      <c r="A6" s="713" t="s">
        <v>168</v>
      </c>
      <c r="B6" s="714"/>
      <c r="C6" s="714"/>
      <c r="D6" s="714"/>
      <c r="E6" s="714"/>
      <c r="F6" s="714"/>
      <c r="G6" s="714"/>
      <c r="H6" s="257">
        <f>C8</f>
        <v>747138.9</v>
      </c>
    </row>
    <row r="7" spans="1:8" ht="12.75">
      <c r="A7" s="715"/>
      <c r="B7" s="716"/>
      <c r="C7" s="716"/>
      <c r="D7" s="716"/>
      <c r="E7" s="716"/>
      <c r="F7" s="716"/>
      <c r="G7" s="281"/>
      <c r="H7" s="218"/>
    </row>
    <row r="8" spans="1:8" ht="13.5" thickBot="1">
      <c r="A8" s="737" t="s">
        <v>174</v>
      </c>
      <c r="B8" s="738"/>
      <c r="C8" s="731">
        <v>747138.9</v>
      </c>
      <c r="D8" s="732"/>
      <c r="E8" s="732"/>
      <c r="F8" s="732"/>
      <c r="G8" s="733"/>
      <c r="H8" s="280"/>
    </row>
    <row r="9" spans="1:8" ht="12.75">
      <c r="A9" s="191"/>
      <c r="B9" s="191"/>
      <c r="C9" s="177"/>
      <c r="D9" s="192"/>
      <c r="E9" s="192"/>
      <c r="F9" s="193"/>
      <c r="G9" s="194"/>
      <c r="H9" s="184"/>
    </row>
    <row r="10" spans="1:8" ht="12.75">
      <c r="A10" s="500" t="s">
        <v>10</v>
      </c>
      <c r="B10" s="500"/>
      <c r="C10" s="500"/>
      <c r="D10" s="500"/>
      <c r="E10" s="500"/>
      <c r="F10" s="500"/>
      <c r="G10" s="500"/>
      <c r="H10" s="500"/>
    </row>
    <row r="11" spans="1:8" ht="12.75">
      <c r="A11" s="501" t="s">
        <v>11</v>
      </c>
      <c r="B11" s="501"/>
      <c r="C11" s="501"/>
      <c r="D11" s="501"/>
      <c r="E11" s="501"/>
      <c r="F11" s="501"/>
      <c r="G11" s="501"/>
      <c r="H11" s="501"/>
    </row>
    <row r="12" spans="1:8" ht="12.75">
      <c r="A12" s="712" t="s">
        <v>171</v>
      </c>
      <c r="B12" s="712"/>
      <c r="C12" s="712"/>
      <c r="D12" s="712"/>
      <c r="E12" s="712"/>
      <c r="F12" s="712"/>
      <c r="G12" s="712"/>
      <c r="H12" s="712"/>
    </row>
    <row r="13" spans="1:8" ht="13.5" thickBot="1">
      <c r="A13" s="185"/>
      <c r="B13" s="185"/>
      <c r="C13" s="185"/>
      <c r="D13" s="185"/>
      <c r="E13" s="185"/>
      <c r="F13" s="185"/>
      <c r="G13" s="185"/>
      <c r="H13" s="185" t="s">
        <v>3</v>
      </c>
    </row>
    <row r="14" spans="1:8" ht="14.25" thickBot="1">
      <c r="A14" s="195" t="s">
        <v>86</v>
      </c>
      <c r="B14" s="196"/>
      <c r="C14" s="196"/>
      <c r="D14" s="196"/>
      <c r="E14" s="196"/>
      <c r="F14" s="196"/>
      <c r="G14" s="197"/>
      <c r="H14" s="257">
        <f>C16</f>
        <v>747138.9</v>
      </c>
    </row>
    <row r="15" spans="1:8" ht="12.75">
      <c r="A15" s="720"/>
      <c r="B15" s="721"/>
      <c r="C15" s="721"/>
      <c r="D15" s="721"/>
      <c r="E15" s="721"/>
      <c r="F15" s="721"/>
      <c r="G15" s="721"/>
      <c r="H15" s="272"/>
    </row>
    <row r="16" spans="1:8" ht="13.5" thickBot="1">
      <c r="A16" s="739" t="s">
        <v>173</v>
      </c>
      <c r="B16" s="740"/>
      <c r="C16" s="734">
        <v>747138.9</v>
      </c>
      <c r="D16" s="735"/>
      <c r="E16" s="735"/>
      <c r="F16" s="735"/>
      <c r="G16" s="736"/>
      <c r="H16" s="221"/>
    </row>
    <row r="17" spans="1:8" ht="12.75">
      <c r="A17" s="198"/>
      <c r="B17" s="198"/>
      <c r="C17" s="198"/>
      <c r="D17" s="199"/>
      <c r="E17" s="199"/>
      <c r="F17" s="199"/>
      <c r="G17" s="200"/>
      <c r="H17" s="201"/>
    </row>
    <row r="19" spans="1:8" ht="12.75">
      <c r="A19" s="544" t="s">
        <v>87</v>
      </c>
      <c r="B19" s="544"/>
      <c r="C19" s="166" t="s">
        <v>43</v>
      </c>
      <c r="D19" s="544" t="s">
        <v>12</v>
      </c>
      <c r="E19" s="544"/>
      <c r="F19" s="166"/>
      <c r="G19" s="166"/>
      <c r="H19" s="166"/>
    </row>
    <row r="20" spans="1:8" ht="12.75">
      <c r="A20" s="167"/>
      <c r="B20" s="167"/>
      <c r="C20" s="167"/>
      <c r="D20" s="729" t="s">
        <v>5</v>
      </c>
      <c r="E20" s="729"/>
      <c r="F20" s="167"/>
      <c r="G20" s="167"/>
      <c r="H20" s="167"/>
    </row>
    <row r="21" spans="1:8" ht="12.75">
      <c r="A21" s="167"/>
      <c r="B21" s="167"/>
      <c r="C21" s="167"/>
      <c r="D21" s="167"/>
      <c r="E21" s="167"/>
      <c r="F21" s="167"/>
      <c r="G21" s="167"/>
      <c r="H21" s="167"/>
    </row>
    <row r="22" spans="1:8" ht="12.75">
      <c r="A22" s="544" t="s">
        <v>71</v>
      </c>
      <c r="B22" s="544"/>
      <c r="C22" s="166" t="s">
        <v>43</v>
      </c>
      <c r="D22" s="544" t="s">
        <v>289</v>
      </c>
      <c r="E22" s="544"/>
      <c r="F22" s="166"/>
      <c r="G22" s="166"/>
      <c r="H22" s="166"/>
    </row>
    <row r="23" spans="4:5" ht="12.75">
      <c r="D23" s="729" t="s">
        <v>5</v>
      </c>
      <c r="E23" s="729"/>
    </row>
  </sheetData>
  <sheetProtection/>
  <mergeCells count="20">
    <mergeCell ref="A1:H1"/>
    <mergeCell ref="A2:H2"/>
    <mergeCell ref="A3:H3"/>
    <mergeCell ref="A4:H4"/>
    <mergeCell ref="A6:G6"/>
    <mergeCell ref="A7:F7"/>
    <mergeCell ref="D23:E23"/>
    <mergeCell ref="A11:H11"/>
    <mergeCell ref="A12:H12"/>
    <mergeCell ref="A15:G15"/>
    <mergeCell ref="A16:B16"/>
    <mergeCell ref="A10:H10"/>
    <mergeCell ref="C8:G8"/>
    <mergeCell ref="C16:G16"/>
    <mergeCell ref="A19:B19"/>
    <mergeCell ref="D19:E19"/>
    <mergeCell ref="D20:E20"/>
    <mergeCell ref="A22:B22"/>
    <mergeCell ref="D22:E22"/>
    <mergeCell ref="A8:B8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O19"/>
  <sheetViews>
    <sheetView view="pageBreakPreview" zoomScale="89" zoomScaleSheetLayoutView="89" zoomScalePageLayoutView="0" workbookViewId="0" topLeftCell="A1">
      <selection activeCell="L29" sqref="L29"/>
    </sheetView>
  </sheetViews>
  <sheetFormatPr defaultColWidth="9.00390625" defaultRowHeight="12.75"/>
  <cols>
    <col min="1" max="1" width="6.125" style="1" customWidth="1"/>
    <col min="2" max="2" width="13.625" style="134" customWidth="1"/>
    <col min="3" max="3" width="16.00390625" style="134" customWidth="1"/>
    <col min="4" max="4" width="7.75390625" style="134" customWidth="1"/>
    <col min="5" max="5" width="1.625" style="134" customWidth="1"/>
    <col min="6" max="6" width="5.00390625" style="134" customWidth="1"/>
    <col min="7" max="7" width="4.125" style="134" customWidth="1"/>
    <col min="8" max="8" width="8.00390625" style="134" customWidth="1"/>
    <col min="9" max="9" width="7.00390625" style="134" customWidth="1"/>
    <col min="10" max="10" width="4.25390625" style="134" customWidth="1"/>
    <col min="11" max="11" width="11.75390625" style="134" customWidth="1"/>
    <col min="12" max="12" width="9.25390625" style="134" customWidth="1"/>
    <col min="13" max="13" width="1.625" style="134" customWidth="1"/>
    <col min="14" max="14" width="11.625" style="134" customWidth="1"/>
    <col min="15" max="15" width="13.875" style="134" customWidth="1"/>
  </cols>
  <sheetData>
    <row r="1" spans="2:15" ht="33.75" customHeight="1">
      <c r="B1" s="510" t="s">
        <v>324</v>
      </c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</row>
    <row r="2" spans="2:15" ht="12.7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2:15" ht="12.75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2:15" ht="12.75">
      <c r="B4" s="511" t="s">
        <v>45</v>
      </c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</row>
    <row r="5" spans="2:15" ht="12.75">
      <c r="B5" s="512" t="s">
        <v>56</v>
      </c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</row>
    <row r="6" spans="2:15" ht="12.75">
      <c r="B6" s="512" t="s">
        <v>293</v>
      </c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</row>
    <row r="7" spans="2:15" ht="13.5" thickBot="1"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 t="s">
        <v>3</v>
      </c>
    </row>
    <row r="8" spans="2:15" ht="13.5" thickBot="1">
      <c r="B8" s="513"/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13"/>
      <c r="N8" s="513"/>
      <c r="O8" s="225">
        <f>M9</f>
        <v>703511.76</v>
      </c>
    </row>
    <row r="9" spans="2:15" ht="13.5" thickBot="1">
      <c r="B9" s="89" t="s">
        <v>295</v>
      </c>
      <c r="C9" s="90"/>
      <c r="D9" s="339"/>
      <c r="E9" s="101"/>
      <c r="F9" s="101"/>
      <c r="G9" s="90"/>
      <c r="H9" s="90"/>
      <c r="I9" s="90"/>
      <c r="J9" s="90"/>
      <c r="K9" s="340"/>
      <c r="L9" s="340"/>
      <c r="M9" s="741">
        <v>703511.76</v>
      </c>
      <c r="N9" s="742"/>
      <c r="O9" s="93"/>
    </row>
    <row r="10" spans="2:15" ht="12.75">
      <c r="B10" s="89" t="s">
        <v>294</v>
      </c>
      <c r="C10" s="57"/>
      <c r="D10" s="343"/>
      <c r="E10" s="60"/>
      <c r="F10" s="60"/>
      <c r="G10" s="57"/>
      <c r="H10" s="57"/>
      <c r="I10" s="57"/>
      <c r="J10" s="57"/>
      <c r="K10" s="68"/>
      <c r="L10" s="68"/>
      <c r="M10" s="647"/>
      <c r="N10" s="648"/>
      <c r="O10" s="94"/>
    </row>
    <row r="11" spans="2:15" ht="13.5" thickBot="1">
      <c r="B11" s="95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634"/>
      <c r="N11" s="635"/>
      <c r="O11" s="98"/>
    </row>
    <row r="12" spans="2:15" ht="12.75"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2:15" ht="12.75">
      <c r="B13" s="62"/>
      <c r="C13" s="62"/>
      <c r="D13" s="62"/>
      <c r="E13" s="62"/>
      <c r="F13" s="62"/>
      <c r="G13" s="62"/>
      <c r="H13" s="62"/>
      <c r="I13" s="52"/>
      <c r="J13" s="52"/>
      <c r="K13" s="52"/>
      <c r="L13" s="52"/>
      <c r="M13" s="52"/>
      <c r="N13" s="52"/>
      <c r="O13" s="52"/>
    </row>
    <row r="14" spans="2:15" ht="12.75">
      <c r="B14" s="544" t="s">
        <v>42</v>
      </c>
      <c r="C14" s="544"/>
      <c r="D14" s="84" t="s">
        <v>43</v>
      </c>
      <c r="E14" s="545"/>
      <c r="F14" s="545"/>
      <c r="G14" s="545"/>
      <c r="H14" s="545"/>
      <c r="I14" s="5"/>
      <c r="J14" s="5"/>
      <c r="K14" s="6" t="s">
        <v>12</v>
      </c>
      <c r="L14" s="6"/>
      <c r="M14" s="6"/>
      <c r="N14" s="6"/>
      <c r="O14" s="6"/>
    </row>
    <row r="15" spans="2:15" ht="12.75">
      <c r="B15" s="7"/>
      <c r="C15" s="7"/>
      <c r="D15" s="7"/>
      <c r="E15" s="5"/>
      <c r="F15" s="5"/>
      <c r="G15" s="5"/>
      <c r="H15" s="5"/>
      <c r="I15" s="5"/>
      <c r="J15" s="5"/>
      <c r="K15" s="5" t="s">
        <v>5</v>
      </c>
      <c r="L15" s="6"/>
      <c r="M15" s="6"/>
      <c r="N15" s="6"/>
      <c r="O15" s="6"/>
    </row>
    <row r="16" spans="2:15" ht="12.75">
      <c r="B16" s="7"/>
      <c r="C16" s="7"/>
      <c r="D16" s="7"/>
      <c r="E16" s="7"/>
      <c r="F16" s="7"/>
      <c r="G16" s="7"/>
      <c r="H16" s="7"/>
      <c r="I16" s="7"/>
      <c r="J16" s="5"/>
      <c r="K16" s="5"/>
      <c r="L16" s="6"/>
      <c r="M16" s="6"/>
      <c r="N16" s="6"/>
      <c r="O16" s="6"/>
    </row>
    <row r="17" spans="2:15" ht="12.75">
      <c r="B17" s="544" t="s">
        <v>44</v>
      </c>
      <c r="C17" s="544"/>
      <c r="D17" s="84" t="s">
        <v>43</v>
      </c>
      <c r="E17" s="545"/>
      <c r="F17" s="545"/>
      <c r="G17" s="545"/>
      <c r="H17" s="545"/>
      <c r="I17" s="5"/>
      <c r="J17" s="5"/>
      <c r="K17" s="5" t="s">
        <v>289</v>
      </c>
      <c r="L17" s="6"/>
      <c r="M17" s="6"/>
      <c r="N17" s="6"/>
      <c r="O17" s="6"/>
    </row>
    <row r="18" spans="2:15" ht="12.75">
      <c r="B18" s="6"/>
      <c r="C18" s="6"/>
      <c r="D18" s="6"/>
      <c r="E18" s="5"/>
      <c r="F18" s="5"/>
      <c r="G18" s="6"/>
      <c r="H18" s="6"/>
      <c r="I18" s="6"/>
      <c r="J18" s="5"/>
      <c r="K18" s="5" t="s">
        <v>5</v>
      </c>
      <c r="L18" s="6"/>
      <c r="M18" s="6"/>
      <c r="N18" s="6"/>
      <c r="O18" s="6"/>
    </row>
    <row r="19" spans="2:15" ht="12.7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</sheetData>
  <sheetProtection/>
  <mergeCells count="12">
    <mergeCell ref="M10:N10"/>
    <mergeCell ref="M11:N11"/>
    <mergeCell ref="B14:C14"/>
    <mergeCell ref="E14:H14"/>
    <mergeCell ref="B17:C17"/>
    <mergeCell ref="E17:H17"/>
    <mergeCell ref="B1:O1"/>
    <mergeCell ref="B4:O4"/>
    <mergeCell ref="B5:O5"/>
    <mergeCell ref="B6:O6"/>
    <mergeCell ref="B8:N8"/>
    <mergeCell ref="M9:N9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1"/>
  <sheetViews>
    <sheetView tabSelected="1" view="pageBreakPreview" zoomScaleSheetLayoutView="100" zoomScalePageLayoutView="0" workbookViewId="0" topLeftCell="A14">
      <selection activeCell="N38" sqref="N38"/>
    </sheetView>
  </sheetViews>
  <sheetFormatPr defaultColWidth="9.00390625" defaultRowHeight="12.75"/>
  <cols>
    <col min="1" max="1" width="6.125" style="1" customWidth="1"/>
    <col min="2" max="2" width="13.625" style="134" customWidth="1"/>
    <col min="3" max="3" width="12.625" style="134" customWidth="1"/>
    <col min="4" max="4" width="7.75390625" style="134" customWidth="1"/>
    <col min="5" max="5" width="1.625" style="134" customWidth="1"/>
    <col min="6" max="6" width="8.75390625" style="134" customWidth="1"/>
    <col min="7" max="7" width="4.125" style="134" customWidth="1"/>
    <col min="8" max="8" width="8.00390625" style="134" customWidth="1"/>
    <col min="9" max="9" width="7.00390625" style="134" customWidth="1"/>
    <col min="10" max="10" width="4.25390625" style="134" customWidth="1"/>
    <col min="11" max="11" width="11.75390625" style="134" customWidth="1"/>
    <col min="12" max="12" width="7.00390625" style="134" customWidth="1"/>
    <col min="13" max="13" width="1.625" style="134" customWidth="1"/>
    <col min="14" max="14" width="11.625" style="134" customWidth="1"/>
    <col min="15" max="15" width="13.875" style="134" customWidth="1"/>
    <col min="16" max="16" width="16.875" style="0" customWidth="1"/>
  </cols>
  <sheetData>
    <row r="1" spans="2:15" ht="31.5" customHeight="1">
      <c r="B1" s="510" t="s">
        <v>296</v>
      </c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</row>
    <row r="2" spans="2:15" ht="12.7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2:15" ht="12.75">
      <c r="B3" s="511" t="s">
        <v>6</v>
      </c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</row>
    <row r="4" spans="2:15" ht="12.75">
      <c r="B4" s="512" t="s">
        <v>7</v>
      </c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</row>
    <row r="5" spans="2:15" ht="12.75">
      <c r="B5" s="512" t="s">
        <v>15</v>
      </c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</row>
    <row r="6" spans="2:15" ht="13.5" thickBot="1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 t="s">
        <v>3</v>
      </c>
    </row>
    <row r="7" spans="2:15" ht="13.5" thickBot="1">
      <c r="B7" s="513"/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13"/>
      <c r="N7" s="513"/>
      <c r="O7" s="225">
        <f>N8+N9+N10</f>
        <v>3226200</v>
      </c>
    </row>
    <row r="8" spans="2:15" ht="12.75">
      <c r="B8" s="89"/>
      <c r="C8" s="90"/>
      <c r="D8" s="514">
        <v>268850</v>
      </c>
      <c r="E8" s="514"/>
      <c r="F8" s="514"/>
      <c r="G8" s="42" t="s">
        <v>0</v>
      </c>
      <c r="H8" s="91">
        <v>12</v>
      </c>
      <c r="I8" s="42" t="s">
        <v>1</v>
      </c>
      <c r="J8" s="42" t="s">
        <v>2</v>
      </c>
      <c r="K8" s="92"/>
      <c r="L8" s="92"/>
      <c r="M8" s="515">
        <f>ROUND(D8*H8,2)</f>
        <v>3226200</v>
      </c>
      <c r="N8" s="516"/>
      <c r="O8" s="93"/>
    </row>
    <row r="9" spans="2:15" ht="12.75">
      <c r="B9" s="51"/>
      <c r="C9" s="52"/>
      <c r="D9" s="507"/>
      <c r="E9" s="507"/>
      <c r="F9" s="507"/>
      <c r="G9" s="57" t="s">
        <v>0</v>
      </c>
      <c r="H9" s="58"/>
      <c r="I9" s="57" t="s">
        <v>1</v>
      </c>
      <c r="J9" s="57" t="s">
        <v>0</v>
      </c>
      <c r="K9" s="68"/>
      <c r="L9" s="64" t="s">
        <v>2</v>
      </c>
      <c r="M9" s="508">
        <f>ROUND(D9*H9,)</f>
        <v>0</v>
      </c>
      <c r="N9" s="509"/>
      <c r="O9" s="94"/>
    </row>
    <row r="10" spans="2:15" ht="13.5" thickBot="1">
      <c r="B10" s="95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7">
        <f>M8+M9</f>
        <v>3226200</v>
      </c>
      <c r="O10" s="98"/>
    </row>
    <row r="11" spans="2:15" ht="12.75"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</row>
    <row r="12" spans="2:15" ht="12.75"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2:15" ht="12.75">
      <c r="B13" s="511" t="s">
        <v>16</v>
      </c>
      <c r="C13" s="511"/>
      <c r="D13" s="511"/>
      <c r="E13" s="511"/>
      <c r="F13" s="511"/>
      <c r="G13" s="511"/>
      <c r="H13" s="511"/>
      <c r="I13" s="511"/>
      <c r="J13" s="511"/>
      <c r="K13" s="511"/>
      <c r="L13" s="511"/>
      <c r="M13" s="511"/>
      <c r="N13" s="511"/>
      <c r="O13" s="511"/>
    </row>
    <row r="14" spans="2:15" ht="12.75">
      <c r="B14" s="512" t="s">
        <v>17</v>
      </c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</row>
    <row r="15" spans="2:15" ht="12.75">
      <c r="B15" s="512" t="s">
        <v>15</v>
      </c>
      <c r="C15" s="512"/>
      <c r="D15" s="512"/>
      <c r="E15" s="512"/>
      <c r="F15" s="512"/>
      <c r="G15" s="512"/>
      <c r="H15" s="512"/>
      <c r="I15" s="512"/>
      <c r="J15" s="512"/>
      <c r="K15" s="512"/>
      <c r="L15" s="512"/>
      <c r="M15" s="512"/>
      <c r="N15" s="512"/>
      <c r="O15" s="512"/>
    </row>
    <row r="16" spans="2:15" ht="13.5" thickBot="1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 t="s">
        <v>3</v>
      </c>
    </row>
    <row r="17" spans="2:15" ht="13.5" thickBot="1">
      <c r="B17" s="513"/>
      <c r="C17" s="513"/>
      <c r="D17" s="513"/>
      <c r="E17" s="513"/>
      <c r="F17" s="513"/>
      <c r="G17" s="513"/>
      <c r="H17" s="513"/>
      <c r="I17" s="513"/>
      <c r="J17" s="513"/>
      <c r="K17" s="513"/>
      <c r="L17" s="513"/>
      <c r="M17" s="513"/>
      <c r="N17" s="513"/>
      <c r="O17" s="225">
        <f>N18+N19</f>
        <v>8400</v>
      </c>
    </row>
    <row r="18" spans="2:15" ht="12.75">
      <c r="B18" s="89"/>
      <c r="C18" s="90"/>
      <c r="D18" s="100">
        <v>14</v>
      </c>
      <c r="E18" s="90"/>
      <c r="F18" s="90" t="s">
        <v>18</v>
      </c>
      <c r="G18" s="101" t="s">
        <v>0</v>
      </c>
      <c r="H18" s="90">
        <v>50</v>
      </c>
      <c r="I18" s="90" t="s">
        <v>3</v>
      </c>
      <c r="J18" s="90" t="s">
        <v>0</v>
      </c>
      <c r="K18" s="100">
        <v>12</v>
      </c>
      <c r="L18" s="90" t="s">
        <v>1</v>
      </c>
      <c r="M18" s="90" t="s">
        <v>2</v>
      </c>
      <c r="N18" s="102">
        <f>D18*H18*K18</f>
        <v>8400</v>
      </c>
      <c r="O18" s="93"/>
    </row>
    <row r="19" spans="2:15" ht="13.5" thickBot="1">
      <c r="B19" s="99"/>
      <c r="C19" s="71"/>
      <c r="D19" s="230"/>
      <c r="E19" s="71"/>
      <c r="F19" s="71" t="s">
        <v>18</v>
      </c>
      <c r="G19" s="231" t="s">
        <v>0</v>
      </c>
      <c r="H19" s="71"/>
      <c r="I19" s="71" t="s">
        <v>3</v>
      </c>
      <c r="J19" s="71" t="s">
        <v>0</v>
      </c>
      <c r="K19" s="230"/>
      <c r="L19" s="71" t="s">
        <v>1</v>
      </c>
      <c r="M19" s="71" t="s">
        <v>2</v>
      </c>
      <c r="N19" s="232">
        <f>D19*H19*K19</f>
        <v>0</v>
      </c>
      <c r="O19" s="98"/>
    </row>
    <row r="20" spans="2:15" ht="12.75"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</row>
    <row r="21" spans="2:15" ht="12.75">
      <c r="B21" s="511" t="s">
        <v>8</v>
      </c>
      <c r="C21" s="511"/>
      <c r="D21" s="511"/>
      <c r="E21" s="511"/>
      <c r="F21" s="511"/>
      <c r="G21" s="511"/>
      <c r="H21" s="511"/>
      <c r="I21" s="511"/>
      <c r="J21" s="511"/>
      <c r="K21" s="511"/>
      <c r="L21" s="511"/>
      <c r="M21" s="511"/>
      <c r="N21" s="511"/>
      <c r="O21" s="511"/>
    </row>
    <row r="22" spans="2:15" ht="12.75">
      <c r="B22" s="512" t="s">
        <v>9</v>
      </c>
      <c r="C22" s="512"/>
      <c r="D22" s="512"/>
      <c r="E22" s="512"/>
      <c r="F22" s="512"/>
      <c r="G22" s="512"/>
      <c r="H22" s="512"/>
      <c r="I22" s="512"/>
      <c r="J22" s="512"/>
      <c r="K22" s="512"/>
      <c r="L22" s="512"/>
      <c r="M22" s="512"/>
      <c r="N22" s="512"/>
      <c r="O22" s="512"/>
    </row>
    <row r="23" spans="2:15" ht="12.75">
      <c r="B23" s="512" t="s">
        <v>15</v>
      </c>
      <c r="C23" s="512"/>
      <c r="D23" s="512"/>
      <c r="E23" s="512"/>
      <c r="F23" s="512"/>
      <c r="G23" s="512"/>
      <c r="H23" s="512"/>
      <c r="I23" s="512"/>
      <c r="J23" s="512"/>
      <c r="K23" s="512"/>
      <c r="L23" s="512"/>
      <c r="M23" s="512"/>
      <c r="N23" s="512"/>
      <c r="O23" s="512"/>
    </row>
    <row r="24" spans="2:15" ht="13.5" thickBot="1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 t="s">
        <v>3</v>
      </c>
    </row>
    <row r="25" spans="2:15" ht="13.5" thickBot="1">
      <c r="B25" s="513"/>
      <c r="C25" s="513"/>
      <c r="D25" s="513"/>
      <c r="E25" s="513"/>
      <c r="F25" s="513"/>
      <c r="G25" s="513"/>
      <c r="H25" s="513"/>
      <c r="I25" s="513"/>
      <c r="J25" s="513"/>
      <c r="K25" s="513"/>
      <c r="L25" s="513"/>
      <c r="M25" s="513"/>
      <c r="N25" s="513"/>
      <c r="O25" s="225">
        <f>N26+N27+N28+N29</f>
        <v>974312</v>
      </c>
    </row>
    <row r="26" spans="2:15" ht="12.75">
      <c r="B26" s="89"/>
      <c r="C26" s="90"/>
      <c r="D26" s="517">
        <v>0.302</v>
      </c>
      <c r="E26" s="514"/>
      <c r="F26" s="514"/>
      <c r="G26" s="42"/>
      <c r="H26" s="91"/>
      <c r="I26" s="42"/>
      <c r="J26" s="42"/>
      <c r="K26" s="92"/>
      <c r="L26" s="92"/>
      <c r="M26" s="515">
        <v>974312</v>
      </c>
      <c r="N26" s="516"/>
      <c r="O26" s="93"/>
    </row>
    <row r="27" spans="2:15" ht="12.75">
      <c r="B27" s="51"/>
      <c r="C27" s="52"/>
      <c r="D27" s="507"/>
      <c r="E27" s="507"/>
      <c r="F27" s="507"/>
      <c r="G27" s="57"/>
      <c r="H27" s="58"/>
      <c r="I27" s="57"/>
      <c r="J27" s="57"/>
      <c r="K27" s="68"/>
      <c r="L27" s="64" t="s">
        <v>2</v>
      </c>
      <c r="M27" s="508">
        <f>ROUND(D27*H27,)</f>
        <v>0</v>
      </c>
      <c r="N27" s="509"/>
      <c r="O27" s="94"/>
    </row>
    <row r="28" spans="2:15" ht="13.5" thickBot="1"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233">
        <f>M26+M27</f>
        <v>974312</v>
      </c>
      <c r="O28" s="98"/>
    </row>
    <row r="29" spans="2:15" ht="12.7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</row>
    <row r="30" spans="2:15" ht="12.75">
      <c r="B30" s="511" t="s">
        <v>19</v>
      </c>
      <c r="C30" s="511"/>
      <c r="D30" s="511"/>
      <c r="E30" s="511"/>
      <c r="F30" s="511"/>
      <c r="G30" s="511"/>
      <c r="H30" s="511"/>
      <c r="I30" s="511"/>
      <c r="J30" s="511"/>
      <c r="K30" s="511"/>
      <c r="L30" s="511"/>
      <c r="M30" s="511"/>
      <c r="N30" s="511"/>
      <c r="O30" s="511"/>
    </row>
    <row r="31" spans="2:15" ht="12.75">
      <c r="B31" s="512" t="s">
        <v>20</v>
      </c>
      <c r="C31" s="512"/>
      <c r="D31" s="512"/>
      <c r="E31" s="512"/>
      <c r="F31" s="512"/>
      <c r="G31" s="512"/>
      <c r="H31" s="512"/>
      <c r="I31" s="512"/>
      <c r="J31" s="512"/>
      <c r="K31" s="512"/>
      <c r="L31" s="512"/>
      <c r="M31" s="512"/>
      <c r="N31" s="512"/>
      <c r="O31" s="512"/>
    </row>
    <row r="32" spans="2:15" ht="12.75">
      <c r="B32" s="512" t="s">
        <v>15</v>
      </c>
      <c r="C32" s="512"/>
      <c r="D32" s="512"/>
      <c r="E32" s="512"/>
      <c r="F32" s="512"/>
      <c r="G32" s="512"/>
      <c r="H32" s="512"/>
      <c r="I32" s="512"/>
      <c r="J32" s="512"/>
      <c r="K32" s="512"/>
      <c r="L32" s="512"/>
      <c r="M32" s="512"/>
      <c r="N32" s="512"/>
      <c r="O32" s="512"/>
    </row>
    <row r="33" spans="2:15" ht="13.5" thickBot="1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 t="s">
        <v>3</v>
      </c>
    </row>
    <row r="34" spans="2:15" ht="13.5" thickBot="1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225">
        <f>ROUND(N40,2)</f>
        <v>68978</v>
      </c>
    </row>
    <row r="35" spans="2:15" ht="12.75">
      <c r="B35" s="518" t="s">
        <v>337</v>
      </c>
      <c r="C35" s="519"/>
      <c r="D35" s="519"/>
      <c r="E35" s="519"/>
      <c r="F35" s="519"/>
      <c r="G35" s="519"/>
      <c r="H35" s="519"/>
      <c r="I35" s="519"/>
      <c r="J35" s="519"/>
      <c r="K35" s="519"/>
      <c r="L35" s="519"/>
      <c r="M35" s="519"/>
      <c r="N35" s="519"/>
      <c r="O35" s="93"/>
    </row>
    <row r="36" spans="2:15" ht="12.75">
      <c r="B36" s="55"/>
      <c r="C36" s="57"/>
      <c r="D36" s="507">
        <v>4</v>
      </c>
      <c r="E36" s="507"/>
      <c r="F36" s="57" t="s">
        <v>21</v>
      </c>
      <c r="G36" s="60" t="s">
        <v>0</v>
      </c>
      <c r="H36" s="507">
        <v>247.8</v>
      </c>
      <c r="I36" s="507"/>
      <c r="J36" s="57" t="s">
        <v>0</v>
      </c>
      <c r="K36" s="58">
        <v>12</v>
      </c>
      <c r="L36" s="57" t="s">
        <v>1</v>
      </c>
      <c r="M36" s="57" t="s">
        <v>2</v>
      </c>
      <c r="N36" s="106">
        <f>ROUND(D36*H36*K36,0)</f>
        <v>11894</v>
      </c>
      <c r="O36" s="94"/>
    </row>
    <row r="37" spans="2:15" ht="12.75">
      <c r="B37" s="51"/>
      <c r="C37" s="52"/>
      <c r="D37" s="507">
        <v>1346</v>
      </c>
      <c r="E37" s="507"/>
      <c r="F37" s="52" t="s">
        <v>22</v>
      </c>
      <c r="G37" s="62" t="s">
        <v>0</v>
      </c>
      <c r="H37" s="507">
        <v>0.52</v>
      </c>
      <c r="I37" s="507"/>
      <c r="J37" s="52" t="s">
        <v>0</v>
      </c>
      <c r="K37" s="103">
        <v>2</v>
      </c>
      <c r="L37" s="52" t="s">
        <v>1</v>
      </c>
      <c r="M37" s="52" t="s">
        <v>2</v>
      </c>
      <c r="N37" s="106">
        <f>D37*H37*K37</f>
        <v>1399.8400000000001</v>
      </c>
      <c r="O37" s="94"/>
    </row>
    <row r="38" spans="2:15" ht="12.75">
      <c r="B38" s="51"/>
      <c r="C38" s="52"/>
      <c r="D38" s="499">
        <f>1944</f>
        <v>1944</v>
      </c>
      <c r="E38" s="499"/>
      <c r="F38" s="52" t="s">
        <v>22</v>
      </c>
      <c r="G38" s="62" t="s">
        <v>0</v>
      </c>
      <c r="H38" s="743">
        <v>0.57</v>
      </c>
      <c r="I38" s="499"/>
      <c r="J38" s="52" t="s">
        <v>0</v>
      </c>
      <c r="K38" s="103">
        <v>10</v>
      </c>
      <c r="L38" s="52" t="s">
        <v>1</v>
      </c>
      <c r="M38" s="52" t="s">
        <v>2</v>
      </c>
      <c r="N38" s="106">
        <f>D38*H38*K38-1</f>
        <v>11079.8</v>
      </c>
      <c r="O38" s="94"/>
    </row>
    <row r="39" spans="2:15" ht="12.75">
      <c r="B39" s="51"/>
      <c r="C39" s="52"/>
      <c r="D39" s="520"/>
      <c r="E39" s="520"/>
      <c r="F39" s="52" t="s">
        <v>23</v>
      </c>
      <c r="G39" s="62"/>
      <c r="H39" s="521">
        <v>3717</v>
      </c>
      <c r="I39" s="521"/>
      <c r="J39" s="52" t="s">
        <v>0</v>
      </c>
      <c r="K39" s="107">
        <v>12</v>
      </c>
      <c r="L39" s="52" t="s">
        <v>1</v>
      </c>
      <c r="M39" s="52" t="s">
        <v>2</v>
      </c>
      <c r="N39" s="106">
        <f>H39*K39</f>
        <v>44604</v>
      </c>
      <c r="O39" s="94"/>
    </row>
    <row r="40" spans="2:15" ht="13.5" thickBot="1">
      <c r="B40" s="522"/>
      <c r="C40" s="523"/>
      <c r="D40" s="523"/>
      <c r="E40" s="523"/>
      <c r="F40" s="523"/>
      <c r="G40" s="523"/>
      <c r="H40" s="523"/>
      <c r="I40" s="523"/>
      <c r="J40" s="523"/>
      <c r="K40" s="523"/>
      <c r="L40" s="523"/>
      <c r="M40" s="96"/>
      <c r="N40" s="108">
        <f>ROUND(SUM(N36:N39),0)</f>
        <v>68978</v>
      </c>
      <c r="O40" s="98"/>
    </row>
    <row r="41" spans="2:15" ht="12.75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52"/>
      <c r="N41" s="52"/>
      <c r="O41" s="52"/>
    </row>
    <row r="42" spans="2:15" ht="12.75">
      <c r="B42" s="511" t="s">
        <v>24</v>
      </c>
      <c r="C42" s="511"/>
      <c r="D42" s="511"/>
      <c r="E42" s="511"/>
      <c r="F42" s="511"/>
      <c r="G42" s="511"/>
      <c r="H42" s="511"/>
      <c r="I42" s="511"/>
      <c r="J42" s="511"/>
      <c r="K42" s="511"/>
      <c r="L42" s="511"/>
      <c r="M42" s="511"/>
      <c r="N42" s="511"/>
      <c r="O42" s="511"/>
    </row>
    <row r="43" spans="2:15" ht="12.75">
      <c r="B43" s="512" t="s">
        <v>25</v>
      </c>
      <c r="C43" s="512"/>
      <c r="D43" s="512"/>
      <c r="E43" s="512"/>
      <c r="F43" s="512"/>
      <c r="G43" s="512"/>
      <c r="H43" s="512"/>
      <c r="I43" s="512"/>
      <c r="J43" s="512"/>
      <c r="K43" s="512"/>
      <c r="L43" s="512"/>
      <c r="M43" s="512"/>
      <c r="N43" s="512"/>
      <c r="O43" s="512"/>
    </row>
    <row r="44" spans="2:15" ht="12.75">
      <c r="B44" s="512" t="s">
        <v>15</v>
      </c>
      <c r="C44" s="512"/>
      <c r="D44" s="512"/>
      <c r="E44" s="512"/>
      <c r="F44" s="512"/>
      <c r="G44" s="512"/>
      <c r="H44" s="512"/>
      <c r="I44" s="512"/>
      <c r="J44" s="512"/>
      <c r="K44" s="512"/>
      <c r="L44" s="512"/>
      <c r="M44" s="512"/>
      <c r="N44" s="512"/>
      <c r="O44" s="512"/>
    </row>
    <row r="45" spans="2:15" ht="13.5" thickBot="1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 t="s">
        <v>3</v>
      </c>
    </row>
    <row r="46" spans="2:15" ht="13.5" thickBot="1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225">
        <f>ROUND((O47+O51+O53+O59+O63+O72+O67+O70),2)</f>
        <v>5774371</v>
      </c>
    </row>
    <row r="47" spans="2:15" ht="12.75">
      <c r="B47" s="518" t="s">
        <v>343</v>
      </c>
      <c r="C47" s="519"/>
      <c r="D47" s="519"/>
      <c r="E47" s="519"/>
      <c r="F47" s="519"/>
      <c r="G47" s="519"/>
      <c r="H47" s="519"/>
      <c r="I47" s="519"/>
      <c r="J47" s="519"/>
      <c r="K47" s="519"/>
      <c r="L47" s="519"/>
      <c r="M47" s="519"/>
      <c r="N47" s="519"/>
      <c r="O47" s="235">
        <f>ROUND(N48+N49+N51+N52,2)</f>
        <v>3485958.89</v>
      </c>
    </row>
    <row r="48" spans="2:15" ht="12.75">
      <c r="B48" s="53"/>
      <c r="C48" s="54"/>
      <c r="D48" s="54"/>
      <c r="E48" s="54"/>
      <c r="F48" s="49"/>
      <c r="G48" s="524">
        <v>1721.91</v>
      </c>
      <c r="H48" s="524"/>
      <c r="I48" s="49" t="s">
        <v>3</v>
      </c>
      <c r="J48" s="49" t="s">
        <v>0</v>
      </c>
      <c r="K48" s="50">
        <v>1303.38</v>
      </c>
      <c r="L48" s="49" t="s">
        <v>26</v>
      </c>
      <c r="M48" s="49" t="s">
        <v>2</v>
      </c>
      <c r="N48" s="110">
        <f>ROUND(G48*K48,2)</f>
        <v>2244303.06</v>
      </c>
      <c r="O48" s="223"/>
    </row>
    <row r="49" spans="2:15" ht="12.75">
      <c r="B49" s="53"/>
      <c r="C49" s="54"/>
      <c r="D49" s="54"/>
      <c r="E49" s="54"/>
      <c r="F49" s="49"/>
      <c r="G49" s="47"/>
      <c r="H49" s="109">
        <v>1825.06</v>
      </c>
      <c r="I49" s="49" t="s">
        <v>3</v>
      </c>
      <c r="J49" s="49" t="s">
        <v>0</v>
      </c>
      <c r="K49" s="50">
        <v>487.65</v>
      </c>
      <c r="L49" s="49" t="s">
        <v>26</v>
      </c>
      <c r="M49" s="49" t="s">
        <v>2</v>
      </c>
      <c r="N49" s="222">
        <f>H49*K49</f>
        <v>889990.509</v>
      </c>
      <c r="O49" s="223"/>
    </row>
    <row r="50" spans="2:15" ht="12.75">
      <c r="B50" s="525" t="s">
        <v>344</v>
      </c>
      <c r="C50" s="526"/>
      <c r="D50" s="526"/>
      <c r="E50" s="526"/>
      <c r="F50" s="526"/>
      <c r="G50" s="526"/>
      <c r="H50" s="526"/>
      <c r="I50" s="526"/>
      <c r="J50" s="526"/>
      <c r="K50" s="526"/>
      <c r="L50" s="49"/>
      <c r="M50" s="49"/>
      <c r="N50" s="110"/>
      <c r="O50" s="223"/>
    </row>
    <row r="51" spans="2:15" ht="12.75">
      <c r="B51" s="53"/>
      <c r="C51" s="54"/>
      <c r="D51" s="54"/>
      <c r="E51" s="54"/>
      <c r="F51" s="49"/>
      <c r="G51" s="524">
        <v>1596.23</v>
      </c>
      <c r="H51" s="524"/>
      <c r="I51" s="49" t="s">
        <v>3</v>
      </c>
      <c r="J51" s="49" t="s">
        <v>0</v>
      </c>
      <c r="K51" s="50">
        <v>176</v>
      </c>
      <c r="L51" s="49" t="s">
        <v>26</v>
      </c>
      <c r="M51" s="49" t="s">
        <v>2</v>
      </c>
      <c r="N51" s="110">
        <f>G51*K51</f>
        <v>280936.48</v>
      </c>
      <c r="O51" s="223"/>
    </row>
    <row r="52" spans="2:15" ht="12.75">
      <c r="B52" s="55"/>
      <c r="C52" s="56"/>
      <c r="D52" s="56"/>
      <c r="E52" s="56"/>
      <c r="F52" s="57"/>
      <c r="G52" s="524">
        <v>1684.02</v>
      </c>
      <c r="H52" s="524"/>
      <c r="I52" s="49" t="s">
        <v>3</v>
      </c>
      <c r="J52" s="57" t="s">
        <v>0</v>
      </c>
      <c r="K52" s="58">
        <v>42</v>
      </c>
      <c r="L52" s="49" t="s">
        <v>26</v>
      </c>
      <c r="M52" s="57" t="s">
        <v>2</v>
      </c>
      <c r="N52" s="110">
        <f>ROUND(G52*K52,2)</f>
        <v>70728.84</v>
      </c>
      <c r="O52" s="223"/>
    </row>
    <row r="53" spans="2:15" ht="12.75">
      <c r="B53" s="112" t="s">
        <v>338</v>
      </c>
      <c r="C53" s="113"/>
      <c r="D53" s="113"/>
      <c r="E53" s="113"/>
      <c r="F53" s="114"/>
      <c r="G53" s="115"/>
      <c r="H53" s="115"/>
      <c r="I53" s="116"/>
      <c r="J53" s="116"/>
      <c r="K53" s="116"/>
      <c r="L53" s="116"/>
      <c r="M53" s="116"/>
      <c r="N53" s="117"/>
      <c r="O53" s="229">
        <f>N54+N55+N56+N57</f>
        <v>170075.78999999998</v>
      </c>
    </row>
    <row r="54" spans="2:15" ht="12.75">
      <c r="B54" s="118"/>
      <c r="C54" s="70"/>
      <c r="D54" s="70"/>
      <c r="E54" s="70"/>
      <c r="F54" s="61"/>
      <c r="G54" s="524">
        <v>1721.91</v>
      </c>
      <c r="H54" s="524"/>
      <c r="I54" s="49" t="s">
        <v>3</v>
      </c>
      <c r="J54" s="49" t="s">
        <v>0</v>
      </c>
      <c r="K54" s="119">
        <v>52.257</v>
      </c>
      <c r="L54" s="49" t="s">
        <v>26</v>
      </c>
      <c r="M54" s="49" t="s">
        <v>2</v>
      </c>
      <c r="N54" s="110">
        <f>ROUND(G54*K54,2)</f>
        <v>89981.85</v>
      </c>
      <c r="O54" s="223"/>
    </row>
    <row r="55" spans="2:15" ht="12.75">
      <c r="B55" s="53"/>
      <c r="C55" s="54"/>
      <c r="D55" s="54"/>
      <c r="E55" s="54"/>
      <c r="F55" s="49"/>
      <c r="G55" s="527">
        <v>1825.06</v>
      </c>
      <c r="H55" s="527"/>
      <c r="I55" s="49" t="s">
        <v>3</v>
      </c>
      <c r="J55" s="49" t="s">
        <v>0</v>
      </c>
      <c r="K55" s="234">
        <v>29.19</v>
      </c>
      <c r="L55" s="49" t="s">
        <v>26</v>
      </c>
      <c r="M55" s="49" t="s">
        <v>2</v>
      </c>
      <c r="N55" s="110">
        <f>ROUND(G55*K55,2)</f>
        <v>53273.5</v>
      </c>
      <c r="O55" s="223"/>
    </row>
    <row r="56" spans="2:15" ht="12.75">
      <c r="B56" s="55"/>
      <c r="C56" s="56"/>
      <c r="D56" s="56"/>
      <c r="E56" s="56"/>
      <c r="F56" s="57"/>
      <c r="G56" s="109"/>
      <c r="H56" s="109">
        <v>21.17</v>
      </c>
      <c r="I56" s="57" t="s">
        <v>3</v>
      </c>
      <c r="J56" s="57" t="s">
        <v>0</v>
      </c>
      <c r="K56" s="120">
        <v>779.94</v>
      </c>
      <c r="L56" s="57" t="s">
        <v>27</v>
      </c>
      <c r="M56" s="57" t="s">
        <v>2</v>
      </c>
      <c r="N56" s="106">
        <f>ROUND(H56*K56,2)</f>
        <v>16511.33</v>
      </c>
      <c r="O56" s="223"/>
    </row>
    <row r="57" spans="2:15" ht="12.75">
      <c r="B57" s="55"/>
      <c r="C57" s="56"/>
      <c r="D57" s="56"/>
      <c r="E57" s="56"/>
      <c r="F57" s="57"/>
      <c r="G57" s="109"/>
      <c r="H57" s="109">
        <v>23.71</v>
      </c>
      <c r="I57" s="57" t="s">
        <v>3</v>
      </c>
      <c r="J57" s="57" t="s">
        <v>0</v>
      </c>
      <c r="K57" s="120">
        <v>434.8</v>
      </c>
      <c r="L57" s="57" t="s">
        <v>27</v>
      </c>
      <c r="M57" s="57" t="s">
        <v>2</v>
      </c>
      <c r="N57" s="106">
        <f>ROUND(H57*K57,2)</f>
        <v>10309.11</v>
      </c>
      <c r="O57" s="223"/>
    </row>
    <row r="58" spans="2:15" ht="12.75">
      <c r="B58" s="525"/>
      <c r="C58" s="526"/>
      <c r="D58" s="526"/>
      <c r="E58" s="526"/>
      <c r="F58" s="526"/>
      <c r="G58" s="526"/>
      <c r="H58" s="526"/>
      <c r="I58" s="526"/>
      <c r="J58" s="526"/>
      <c r="K58" s="526"/>
      <c r="L58" s="526"/>
      <c r="M58" s="526"/>
      <c r="N58" s="528"/>
      <c r="O58" s="223"/>
    </row>
    <row r="59" spans="2:16" ht="12.75">
      <c r="B59" s="529" t="s">
        <v>339</v>
      </c>
      <c r="C59" s="530"/>
      <c r="D59" s="530"/>
      <c r="E59" s="530"/>
      <c r="F59" s="530"/>
      <c r="G59" s="530"/>
      <c r="H59" s="530"/>
      <c r="I59" s="530"/>
      <c r="J59" s="530"/>
      <c r="K59" s="530"/>
      <c r="L59" s="530"/>
      <c r="M59" s="530"/>
      <c r="N59" s="530"/>
      <c r="O59" s="229">
        <f>ROUND(N60+N61,2)</f>
        <v>1581072.23</v>
      </c>
      <c r="P59" s="87"/>
    </row>
    <row r="60" spans="2:15" ht="12.75">
      <c r="B60" s="53"/>
      <c r="C60" s="54"/>
      <c r="D60" s="54"/>
      <c r="E60" s="54"/>
      <c r="F60" s="49"/>
      <c r="G60" s="524">
        <v>5.79</v>
      </c>
      <c r="H60" s="524"/>
      <c r="I60" s="49" t="s">
        <v>3</v>
      </c>
      <c r="J60" s="49" t="s">
        <v>0</v>
      </c>
      <c r="K60" s="50">
        <v>273069.47</v>
      </c>
      <c r="L60" s="49" t="s">
        <v>28</v>
      </c>
      <c r="M60" s="49" t="s">
        <v>2</v>
      </c>
      <c r="N60" s="110">
        <f>G60*K60</f>
        <v>1581072.2312999999</v>
      </c>
      <c r="O60" s="223"/>
    </row>
    <row r="61" spans="2:15" ht="12.75">
      <c r="B61" s="53"/>
      <c r="C61" s="54"/>
      <c r="D61" s="54"/>
      <c r="E61" s="54"/>
      <c r="F61" s="49"/>
      <c r="G61" s="47"/>
      <c r="H61" s="109"/>
      <c r="I61" s="49" t="s">
        <v>3</v>
      </c>
      <c r="J61" s="49" t="s">
        <v>0</v>
      </c>
      <c r="K61" s="50"/>
      <c r="L61" s="49" t="s">
        <v>28</v>
      </c>
      <c r="M61" s="49" t="s">
        <v>2</v>
      </c>
      <c r="N61" s="110">
        <f>ROUND(H61*K61,2)</f>
        <v>0</v>
      </c>
      <c r="O61" s="223"/>
    </row>
    <row r="62" spans="2:15" ht="12.75">
      <c r="B62" s="531"/>
      <c r="C62" s="532"/>
      <c r="D62" s="532"/>
      <c r="E62" s="532"/>
      <c r="F62" s="532"/>
      <c r="G62" s="532"/>
      <c r="H62" s="532"/>
      <c r="I62" s="532"/>
      <c r="J62" s="532"/>
      <c r="K62" s="532"/>
      <c r="L62" s="532"/>
      <c r="M62" s="532"/>
      <c r="N62" s="533"/>
      <c r="O62" s="223"/>
    </row>
    <row r="63" spans="2:15" ht="12.75">
      <c r="B63" s="525" t="s">
        <v>342</v>
      </c>
      <c r="C63" s="526"/>
      <c r="D63" s="526"/>
      <c r="E63" s="526"/>
      <c r="F63" s="526"/>
      <c r="G63" s="526"/>
      <c r="H63" s="526"/>
      <c r="I63" s="526"/>
      <c r="J63" s="526"/>
      <c r="K63" s="526"/>
      <c r="L63" s="526"/>
      <c r="M63" s="526"/>
      <c r="N63" s="526"/>
      <c r="O63" s="229">
        <f>N64+N65+N68+N67</f>
        <v>423277.65</v>
      </c>
    </row>
    <row r="64" spans="2:15" ht="12.75">
      <c r="B64" s="53"/>
      <c r="C64" s="54"/>
      <c r="D64" s="54"/>
      <c r="E64" s="54"/>
      <c r="F64" s="121"/>
      <c r="G64" s="534">
        <v>21.17</v>
      </c>
      <c r="H64" s="534"/>
      <c r="I64" s="49" t="s">
        <v>3</v>
      </c>
      <c r="J64" s="49" t="s">
        <v>0</v>
      </c>
      <c r="K64" s="50">
        <v>5368</v>
      </c>
      <c r="L64" s="49" t="s">
        <v>27</v>
      </c>
      <c r="M64" s="49" t="s">
        <v>2</v>
      </c>
      <c r="N64" s="110">
        <f>G64*K64</f>
        <v>113640.56000000001</v>
      </c>
      <c r="O64" s="224"/>
    </row>
    <row r="65" spans="2:15" ht="12.75">
      <c r="B65" s="53"/>
      <c r="C65" s="54"/>
      <c r="D65" s="54"/>
      <c r="E65" s="54"/>
      <c r="F65" s="121"/>
      <c r="G65" s="534">
        <v>23.71</v>
      </c>
      <c r="H65" s="534"/>
      <c r="I65" s="49" t="s">
        <v>3</v>
      </c>
      <c r="J65" s="49" t="s">
        <v>0</v>
      </c>
      <c r="K65" s="50">
        <v>3852</v>
      </c>
      <c r="L65" s="49" t="s">
        <v>27</v>
      </c>
      <c r="M65" s="49" t="s">
        <v>2</v>
      </c>
      <c r="N65" s="110">
        <f>ROUND(G65*K65,2)</f>
        <v>91330.92</v>
      </c>
      <c r="O65" s="223"/>
    </row>
    <row r="66" spans="2:15" ht="12.75">
      <c r="B66" s="53"/>
      <c r="C66" s="54"/>
      <c r="D66" s="54"/>
      <c r="E66" s="54"/>
      <c r="F66" s="121"/>
      <c r="G66" s="389"/>
      <c r="H66" s="389"/>
      <c r="I66" s="49"/>
      <c r="J66" s="49"/>
      <c r="K66" s="50"/>
      <c r="L66" s="49"/>
      <c r="M66" s="49"/>
      <c r="N66" s="110"/>
      <c r="O66" s="223"/>
    </row>
    <row r="67" spans="2:15" ht="12.75">
      <c r="B67" s="53" t="s">
        <v>335</v>
      </c>
      <c r="C67" s="54"/>
      <c r="D67" s="54"/>
      <c r="E67" s="54"/>
      <c r="F67" s="121"/>
      <c r="G67" s="534">
        <v>14.04</v>
      </c>
      <c r="H67" s="534"/>
      <c r="I67" s="49" t="s">
        <v>3</v>
      </c>
      <c r="J67" s="49" t="s">
        <v>0</v>
      </c>
      <c r="K67" s="50">
        <v>8254.94</v>
      </c>
      <c r="L67" s="49" t="s">
        <v>27</v>
      </c>
      <c r="M67" s="49" t="s">
        <v>2</v>
      </c>
      <c r="N67" s="110">
        <f>ROUND(G67*K67,2)</f>
        <v>115899.36</v>
      </c>
      <c r="O67" s="223"/>
    </row>
    <row r="68" spans="2:15" ht="12.75">
      <c r="B68" s="53"/>
      <c r="C68" s="54"/>
      <c r="D68" s="54"/>
      <c r="E68" s="54"/>
      <c r="F68" s="121"/>
      <c r="G68" s="534">
        <v>15.26</v>
      </c>
      <c r="H68" s="534"/>
      <c r="I68" s="49" t="s">
        <v>3</v>
      </c>
      <c r="J68" s="49" t="s">
        <v>0</v>
      </c>
      <c r="K68" s="50">
        <v>6710.8</v>
      </c>
      <c r="L68" s="49" t="s">
        <v>27</v>
      </c>
      <c r="M68" s="49" t="s">
        <v>2</v>
      </c>
      <c r="N68" s="110">
        <f>ROUND(G68*K68,2)</f>
        <v>102406.81</v>
      </c>
      <c r="O68" s="223"/>
    </row>
    <row r="69" spans="2:15" ht="12.75">
      <c r="B69" s="55"/>
      <c r="C69" s="56"/>
      <c r="D69" s="56"/>
      <c r="E69" s="56"/>
      <c r="F69" s="121"/>
      <c r="G69" s="534"/>
      <c r="H69" s="534"/>
      <c r="I69" s="49"/>
      <c r="J69" s="57"/>
      <c r="K69" s="58"/>
      <c r="L69" s="49"/>
      <c r="M69" s="57"/>
      <c r="N69" s="110"/>
      <c r="O69" s="223"/>
    </row>
    <row r="70" spans="2:15" ht="12.75">
      <c r="B70" s="45" t="s">
        <v>340</v>
      </c>
      <c r="C70" s="57"/>
      <c r="D70" s="57"/>
      <c r="E70" s="57"/>
      <c r="F70" s="57"/>
      <c r="G70" s="56"/>
      <c r="H70" s="56"/>
      <c r="I70" s="49"/>
      <c r="J70" s="49"/>
      <c r="K70" s="49"/>
      <c r="L70" s="57"/>
      <c r="M70" s="57"/>
      <c r="N70" s="110">
        <v>29966.25</v>
      </c>
      <c r="O70" s="229">
        <f>N70</f>
        <v>29966.25</v>
      </c>
    </row>
    <row r="71" spans="2:15" ht="12.75">
      <c r="B71" s="53"/>
      <c r="C71" s="54"/>
      <c r="D71" s="54"/>
      <c r="E71" s="54"/>
      <c r="F71" s="121"/>
      <c r="G71" s="534"/>
      <c r="H71" s="534"/>
      <c r="I71" s="49"/>
      <c r="J71" s="49"/>
      <c r="K71" s="50"/>
      <c r="L71" s="49"/>
      <c r="M71" s="49"/>
      <c r="N71" s="110"/>
      <c r="O71" s="224"/>
    </row>
    <row r="72" spans="2:15" ht="13.5" thickBot="1">
      <c r="B72" s="536" t="s">
        <v>341</v>
      </c>
      <c r="C72" s="537"/>
      <c r="D72" s="537"/>
      <c r="E72" s="537"/>
      <c r="F72" s="537"/>
      <c r="G72" s="537"/>
      <c r="H72" s="537"/>
      <c r="I72" s="537"/>
      <c r="J72" s="537"/>
      <c r="K72" s="537"/>
      <c r="L72" s="537"/>
      <c r="M72" s="537"/>
      <c r="N72" s="131">
        <v>84020.19</v>
      </c>
      <c r="O72" s="236">
        <f>N72</f>
        <v>84020.19</v>
      </c>
    </row>
    <row r="73" spans="2:15" ht="12.75">
      <c r="B73" s="511" t="s">
        <v>45</v>
      </c>
      <c r="C73" s="511"/>
      <c r="D73" s="511"/>
      <c r="E73" s="511"/>
      <c r="F73" s="511"/>
      <c r="G73" s="511"/>
      <c r="H73" s="511"/>
      <c r="I73" s="511"/>
      <c r="J73" s="511"/>
      <c r="K73" s="511"/>
      <c r="L73" s="511"/>
      <c r="M73" s="511"/>
      <c r="N73" s="511"/>
      <c r="O73" s="511"/>
    </row>
    <row r="74" spans="2:15" ht="12.75">
      <c r="B74" s="512" t="s">
        <v>46</v>
      </c>
      <c r="C74" s="512"/>
      <c r="D74" s="512"/>
      <c r="E74" s="512"/>
      <c r="F74" s="512"/>
      <c r="G74" s="512"/>
      <c r="H74" s="512"/>
      <c r="I74" s="512"/>
      <c r="J74" s="512"/>
      <c r="K74" s="512"/>
      <c r="L74" s="512"/>
      <c r="M74" s="512"/>
      <c r="N74" s="512"/>
      <c r="O74" s="512"/>
    </row>
    <row r="75" spans="2:15" ht="12.75">
      <c r="B75" s="512" t="s">
        <v>47</v>
      </c>
      <c r="C75" s="512"/>
      <c r="D75" s="512"/>
      <c r="E75" s="512"/>
      <c r="F75" s="512"/>
      <c r="G75" s="512"/>
      <c r="H75" s="512"/>
      <c r="I75" s="512"/>
      <c r="J75" s="512"/>
      <c r="K75" s="512"/>
      <c r="L75" s="512"/>
      <c r="M75" s="512"/>
      <c r="N75" s="512"/>
      <c r="O75" s="512"/>
    </row>
    <row r="76" spans="2:16" ht="13.5" thickBot="1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 t="s">
        <v>3</v>
      </c>
      <c r="P76" s="87"/>
    </row>
    <row r="77" spans="2:15" ht="13.5" thickBot="1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228">
        <f>ROUND((N79+N82+N84+N87+N90+N93+N95+N98+N99+N101+N104+N106+N109+N111+N113+N115+N117+N119+N121+N123+N126+N128+N130+N132+N134+N136+N138+N139+N141),2)</f>
        <v>795469.34</v>
      </c>
    </row>
    <row r="78" spans="2:15" ht="12.75">
      <c r="B78" s="41" t="s">
        <v>188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3"/>
      <c r="O78" s="122"/>
    </row>
    <row r="79" spans="2:15" ht="12.75">
      <c r="B79" s="59">
        <v>61.1</v>
      </c>
      <c r="C79" s="60" t="s">
        <v>29</v>
      </c>
      <c r="D79" s="46" t="s">
        <v>0</v>
      </c>
      <c r="E79" s="47">
        <v>307.5</v>
      </c>
      <c r="F79" s="48">
        <v>293</v>
      </c>
      <c r="G79" s="49" t="s">
        <v>3</v>
      </c>
      <c r="H79" s="49" t="s">
        <v>0</v>
      </c>
      <c r="I79" s="50">
        <v>12</v>
      </c>
      <c r="J79" s="49" t="s">
        <v>30</v>
      </c>
      <c r="K79" s="49"/>
      <c r="L79" s="49"/>
      <c r="M79" s="245" t="s">
        <v>2</v>
      </c>
      <c r="N79" s="238">
        <f>ROUND(B79*F79*I79,2)</f>
        <v>214827.6</v>
      </c>
      <c r="O79" s="65"/>
    </row>
    <row r="80" spans="2:15" ht="12.75">
      <c r="B80" s="118"/>
      <c r="C80" s="206"/>
      <c r="D80" s="60"/>
      <c r="E80" s="60"/>
      <c r="F80" s="237"/>
      <c r="G80" s="57"/>
      <c r="H80" s="57"/>
      <c r="I80" s="57"/>
      <c r="J80" s="57"/>
      <c r="K80" s="57"/>
      <c r="L80" s="57"/>
      <c r="M80" s="245"/>
      <c r="N80" s="239"/>
      <c r="O80" s="65"/>
    </row>
    <row r="81" spans="2:15" ht="12.75">
      <c r="B81" s="59" t="s">
        <v>175</v>
      </c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242"/>
      <c r="N81" s="239"/>
      <c r="O81" s="65"/>
    </row>
    <row r="82" spans="2:15" ht="12.75">
      <c r="B82" s="51"/>
      <c r="C82" s="451">
        <v>11956.125</v>
      </c>
      <c r="D82" s="70" t="s">
        <v>384</v>
      </c>
      <c r="E82" s="70" t="s">
        <v>0</v>
      </c>
      <c r="F82" s="61"/>
      <c r="G82" s="507">
        <v>0.16</v>
      </c>
      <c r="H82" s="507"/>
      <c r="I82" s="61"/>
      <c r="J82" s="61" t="s">
        <v>0</v>
      </c>
      <c r="K82" s="451">
        <v>5</v>
      </c>
      <c r="L82" s="61" t="s">
        <v>30</v>
      </c>
      <c r="M82" s="245" t="s">
        <v>2</v>
      </c>
      <c r="N82" s="240">
        <f>ROUND(C82*G82*K82,2)</f>
        <v>9564.9</v>
      </c>
      <c r="O82" s="65"/>
    </row>
    <row r="83" spans="2:15" ht="12.75">
      <c r="B83" s="51" t="s">
        <v>372</v>
      </c>
      <c r="C83" s="331"/>
      <c r="D83" s="66"/>
      <c r="E83" s="66"/>
      <c r="F83" s="52"/>
      <c r="G83" s="331"/>
      <c r="H83" s="331"/>
      <c r="I83" s="52"/>
      <c r="J83" s="52"/>
      <c r="K83" s="331"/>
      <c r="L83" s="52"/>
      <c r="M83" s="245"/>
      <c r="N83" s="240"/>
      <c r="O83" s="65"/>
    </row>
    <row r="84" spans="2:15" ht="12.75">
      <c r="B84" s="51"/>
      <c r="C84" s="331">
        <v>11956.1</v>
      </c>
      <c r="D84" s="66" t="s">
        <v>384</v>
      </c>
      <c r="E84" s="66" t="s">
        <v>0</v>
      </c>
      <c r="F84" s="52"/>
      <c r="G84" s="331"/>
      <c r="H84" s="331">
        <v>0.11</v>
      </c>
      <c r="I84" s="52"/>
      <c r="J84" s="52"/>
      <c r="K84" s="331">
        <v>7</v>
      </c>
      <c r="L84" s="52" t="s">
        <v>30</v>
      </c>
      <c r="M84" s="245" t="s">
        <v>2</v>
      </c>
      <c r="N84" s="240">
        <f>ROUND(C84*H84*K84,2)</f>
        <v>9206.2</v>
      </c>
      <c r="O84" s="65"/>
    </row>
    <row r="85" spans="2:15" ht="12.75">
      <c r="B85" s="53"/>
      <c r="C85" s="54"/>
      <c r="D85" s="54"/>
      <c r="E85" s="54"/>
      <c r="F85" s="49"/>
      <c r="G85" s="535"/>
      <c r="H85" s="535"/>
      <c r="I85" s="49"/>
      <c r="J85" s="49" t="s">
        <v>0</v>
      </c>
      <c r="K85" s="49"/>
      <c r="L85" s="49"/>
      <c r="M85" s="245"/>
      <c r="N85" s="241"/>
      <c r="O85" s="65"/>
    </row>
    <row r="86" spans="2:15" ht="12.75">
      <c r="B86" s="59" t="s">
        <v>194</v>
      </c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242"/>
      <c r="N86" s="241"/>
      <c r="O86" s="65"/>
    </row>
    <row r="87" spans="2:15" ht="12.75">
      <c r="B87" s="481"/>
      <c r="C87" s="482">
        <v>12</v>
      </c>
      <c r="D87" s="483" t="s">
        <v>1</v>
      </c>
      <c r="E87" s="483" t="s">
        <v>0</v>
      </c>
      <c r="F87" s="483"/>
      <c r="G87" s="546">
        <v>256.8466</v>
      </c>
      <c r="H87" s="546"/>
      <c r="I87" s="483" t="s">
        <v>3</v>
      </c>
      <c r="J87" s="483" t="s">
        <v>0</v>
      </c>
      <c r="K87" s="484">
        <v>3</v>
      </c>
      <c r="L87" s="483" t="s">
        <v>31</v>
      </c>
      <c r="M87" s="485" t="s">
        <v>2</v>
      </c>
      <c r="N87" s="486">
        <f>ROUND(C87*G87*K87,2)</f>
        <v>9246.48</v>
      </c>
      <c r="O87" s="65"/>
    </row>
    <row r="88" spans="2:15" ht="12.75">
      <c r="B88" s="59"/>
      <c r="C88" s="62"/>
      <c r="D88" s="63"/>
      <c r="E88" s="56"/>
      <c r="F88" s="547"/>
      <c r="G88" s="547"/>
      <c r="H88" s="547"/>
      <c r="I88" s="56"/>
      <c r="J88" s="52"/>
      <c r="K88" s="63"/>
      <c r="L88" s="63"/>
      <c r="M88" s="245"/>
      <c r="N88" s="241"/>
      <c r="O88" s="65"/>
    </row>
    <row r="89" spans="2:15" ht="12.75">
      <c r="B89" s="59" t="s">
        <v>190</v>
      </c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242"/>
      <c r="N89" s="242"/>
      <c r="O89" s="65"/>
    </row>
    <row r="90" spans="2:15" ht="12.75">
      <c r="B90" s="59"/>
      <c r="C90" s="450">
        <v>12</v>
      </c>
      <c r="D90" s="56" t="s">
        <v>1</v>
      </c>
      <c r="E90" s="56" t="s">
        <v>0</v>
      </c>
      <c r="F90" s="56"/>
      <c r="G90" s="507">
        <v>6635</v>
      </c>
      <c r="H90" s="507"/>
      <c r="I90" s="56" t="s">
        <v>3</v>
      </c>
      <c r="J90" s="56"/>
      <c r="K90" s="56"/>
      <c r="L90" s="56"/>
      <c r="M90" s="242" t="s">
        <v>2</v>
      </c>
      <c r="N90" s="243">
        <f>C90*G90</f>
        <v>79620</v>
      </c>
      <c r="O90" s="65"/>
    </row>
    <row r="91" spans="2:15" ht="12.75">
      <c r="B91" s="548"/>
      <c r="C91" s="535"/>
      <c r="D91" s="535"/>
      <c r="E91" s="535"/>
      <c r="F91" s="535"/>
      <c r="G91" s="535"/>
      <c r="H91" s="535"/>
      <c r="I91" s="535"/>
      <c r="J91" s="535"/>
      <c r="K91" s="535"/>
      <c r="L91" s="535"/>
      <c r="M91" s="242"/>
      <c r="N91" s="242"/>
      <c r="O91" s="65"/>
    </row>
    <row r="92" spans="2:15" ht="12.75">
      <c r="B92" s="481" t="s">
        <v>184</v>
      </c>
      <c r="C92" s="483"/>
      <c r="D92" s="483"/>
      <c r="E92" s="483"/>
      <c r="F92" s="483"/>
      <c r="G92" s="483"/>
      <c r="H92" s="483"/>
      <c r="I92" s="483"/>
      <c r="J92" s="483"/>
      <c r="K92" s="483"/>
      <c r="L92" s="483"/>
      <c r="M92" s="485"/>
      <c r="N92" s="485"/>
      <c r="O92" s="65"/>
    </row>
    <row r="93" spans="2:15" ht="12.75">
      <c r="B93" s="59"/>
      <c r="C93" s="450">
        <v>12</v>
      </c>
      <c r="D93" s="67" t="s">
        <v>1</v>
      </c>
      <c r="E93" s="56" t="s">
        <v>0</v>
      </c>
      <c r="F93" s="68"/>
      <c r="G93" s="539">
        <v>4231</v>
      </c>
      <c r="H93" s="539"/>
      <c r="I93" s="56" t="s">
        <v>3</v>
      </c>
      <c r="J93" s="57"/>
      <c r="K93" s="549"/>
      <c r="L93" s="549"/>
      <c r="M93" s="245" t="s">
        <v>2</v>
      </c>
      <c r="N93" s="238">
        <f>C93*G93</f>
        <v>50772</v>
      </c>
      <c r="O93" s="65"/>
    </row>
    <row r="94" spans="2:15" ht="12.75">
      <c r="B94" s="481" t="s">
        <v>185</v>
      </c>
      <c r="C94" s="331"/>
      <c r="D94" s="67"/>
      <c r="E94" s="56"/>
      <c r="F94" s="68"/>
      <c r="G94" s="449"/>
      <c r="H94" s="449"/>
      <c r="I94" s="56"/>
      <c r="J94" s="52"/>
      <c r="K94" s="69"/>
      <c r="L94" s="69"/>
      <c r="M94" s="245"/>
      <c r="N94" s="239"/>
      <c r="O94" s="65"/>
    </row>
    <row r="95" spans="2:15" ht="12.75">
      <c r="B95" s="59"/>
      <c r="C95" s="331">
        <v>9</v>
      </c>
      <c r="D95" s="67" t="s">
        <v>1</v>
      </c>
      <c r="E95" s="56"/>
      <c r="F95" s="68"/>
      <c r="G95" s="539">
        <v>4231</v>
      </c>
      <c r="H95" s="539"/>
      <c r="I95" s="56" t="s">
        <v>3</v>
      </c>
      <c r="J95" s="52" t="s">
        <v>2</v>
      </c>
      <c r="K95" s="332">
        <f>C95*G95</f>
        <v>38079</v>
      </c>
      <c r="L95" s="69"/>
      <c r="M95" s="245" t="s">
        <v>2</v>
      </c>
      <c r="N95" s="238">
        <f>K95+K96</f>
        <v>41081.65</v>
      </c>
      <c r="O95" s="65"/>
    </row>
    <row r="96" spans="2:15" ht="12.75">
      <c r="B96" s="59"/>
      <c r="C96" s="331">
        <v>1</v>
      </c>
      <c r="D96" s="67" t="s">
        <v>1</v>
      </c>
      <c r="E96" s="56"/>
      <c r="F96" s="68"/>
      <c r="G96" s="539">
        <v>3002.65</v>
      </c>
      <c r="H96" s="539"/>
      <c r="I96" s="56" t="s">
        <v>3</v>
      </c>
      <c r="J96" s="52" t="s">
        <v>2</v>
      </c>
      <c r="K96" s="333">
        <f>C96*G96</f>
        <v>3002.65</v>
      </c>
      <c r="L96" s="69"/>
      <c r="M96" s="245"/>
      <c r="N96" s="239"/>
      <c r="O96" s="65"/>
    </row>
    <row r="97" spans="2:15" ht="12.75">
      <c r="B97" s="59" t="s">
        <v>177</v>
      </c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242"/>
      <c r="N97" s="242"/>
      <c r="O97" s="65"/>
    </row>
    <row r="98" spans="2:15" ht="12.75">
      <c r="B98" s="59"/>
      <c r="C98" s="450">
        <v>6</v>
      </c>
      <c r="D98" s="56" t="s">
        <v>1</v>
      </c>
      <c r="E98" s="56" t="s">
        <v>0</v>
      </c>
      <c r="F98" s="56"/>
      <c r="G98" s="507">
        <v>1800</v>
      </c>
      <c r="H98" s="507"/>
      <c r="I98" s="56" t="s">
        <v>3</v>
      </c>
      <c r="J98" s="56"/>
      <c r="K98" s="56"/>
      <c r="L98" s="56"/>
      <c r="M98" s="242" t="s">
        <v>2</v>
      </c>
      <c r="N98" s="244">
        <f>C98*G98</f>
        <v>10800</v>
      </c>
      <c r="O98" s="65"/>
    </row>
    <row r="99" spans="2:15" ht="12.75">
      <c r="B99" s="59" t="s">
        <v>178</v>
      </c>
      <c r="C99" s="56"/>
      <c r="D99" s="56"/>
      <c r="E99" s="56"/>
      <c r="F99" s="56"/>
      <c r="G99" s="56"/>
      <c r="H99" s="56"/>
      <c r="I99" s="56"/>
      <c r="J99" s="56"/>
      <c r="K99" s="56"/>
      <c r="L99" s="330"/>
      <c r="M99" s="242" t="s">
        <v>2</v>
      </c>
      <c r="N99" s="244">
        <v>2000</v>
      </c>
      <c r="O99" s="65"/>
    </row>
    <row r="100" spans="2:15" ht="12.75">
      <c r="B100" s="55" t="s">
        <v>189</v>
      </c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245"/>
      <c r="N100" s="245"/>
      <c r="O100" s="65"/>
    </row>
    <row r="101" spans="2:15" ht="12.75">
      <c r="B101" s="59"/>
      <c r="C101" s="450">
        <v>12</v>
      </c>
      <c r="D101" s="56" t="s">
        <v>1</v>
      </c>
      <c r="E101" s="56" t="s">
        <v>0</v>
      </c>
      <c r="F101" s="56"/>
      <c r="G101" s="507">
        <v>1100</v>
      </c>
      <c r="H101" s="507"/>
      <c r="I101" s="56" t="s">
        <v>3</v>
      </c>
      <c r="J101" s="56"/>
      <c r="K101" s="450">
        <v>3</v>
      </c>
      <c r="L101" s="56" t="s">
        <v>31</v>
      </c>
      <c r="M101" s="242" t="s">
        <v>2</v>
      </c>
      <c r="N101" s="244">
        <f>K101*C101*G101</f>
        <v>39600</v>
      </c>
      <c r="O101" s="65"/>
    </row>
    <row r="102" spans="2:15" ht="12.75">
      <c r="B102" s="59"/>
      <c r="C102" s="56"/>
      <c r="D102" s="56"/>
      <c r="E102" s="56"/>
      <c r="F102" s="56"/>
      <c r="G102" s="56"/>
      <c r="H102" s="56"/>
      <c r="I102" s="56"/>
      <c r="J102" s="57"/>
      <c r="K102" s="56"/>
      <c r="L102" s="56"/>
      <c r="M102" s="245"/>
      <c r="N102" s="241"/>
      <c r="O102" s="65"/>
    </row>
    <row r="103" spans="2:15" ht="12.75">
      <c r="B103" s="59" t="s">
        <v>182</v>
      </c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245"/>
      <c r="N103" s="245"/>
      <c r="O103" s="65"/>
    </row>
    <row r="104" spans="2:15" ht="12.75">
      <c r="B104" s="59"/>
      <c r="C104" s="450">
        <v>12</v>
      </c>
      <c r="D104" s="56" t="s">
        <v>1</v>
      </c>
      <c r="E104" s="56" t="s">
        <v>0</v>
      </c>
      <c r="F104" s="56"/>
      <c r="G104" s="507">
        <v>1605.26</v>
      </c>
      <c r="H104" s="507"/>
      <c r="I104" s="56" t="s">
        <v>3</v>
      </c>
      <c r="J104" s="56"/>
      <c r="K104" s="450">
        <v>2</v>
      </c>
      <c r="L104" s="56" t="s">
        <v>31</v>
      </c>
      <c r="M104" s="245" t="s">
        <v>2</v>
      </c>
      <c r="N104" s="204">
        <f>ROUND(G104*K104*C104,2)</f>
        <v>38526.24</v>
      </c>
      <c r="O104" s="65"/>
    </row>
    <row r="105" spans="2:15" ht="12.75">
      <c r="B105" s="59" t="s">
        <v>186</v>
      </c>
      <c r="C105" s="60"/>
      <c r="D105" s="56"/>
      <c r="E105" s="56"/>
      <c r="F105" s="56"/>
      <c r="G105" s="60"/>
      <c r="H105" s="60"/>
      <c r="I105" s="56"/>
      <c r="J105" s="56"/>
      <c r="K105" s="60"/>
      <c r="L105" s="56"/>
      <c r="M105" s="245"/>
      <c r="N105" s="245"/>
      <c r="O105" s="65"/>
    </row>
    <row r="106" spans="2:15" ht="12.75">
      <c r="B106" s="59"/>
      <c r="C106" s="450">
        <v>12</v>
      </c>
      <c r="D106" s="56" t="s">
        <v>1</v>
      </c>
      <c r="E106" s="56"/>
      <c r="F106" s="56"/>
      <c r="G106" s="507">
        <v>1605.26</v>
      </c>
      <c r="H106" s="507"/>
      <c r="I106" s="56" t="s">
        <v>3</v>
      </c>
      <c r="J106" s="56"/>
      <c r="K106" s="450">
        <v>1</v>
      </c>
      <c r="L106" s="56" t="s">
        <v>187</v>
      </c>
      <c r="M106" s="245" t="s">
        <v>2</v>
      </c>
      <c r="N106" s="204">
        <f>C106*G106*K106</f>
        <v>19263.12</v>
      </c>
      <c r="O106" s="65"/>
    </row>
    <row r="107" spans="2:15" ht="12.75">
      <c r="B107" s="59" t="s">
        <v>180</v>
      </c>
      <c r="C107" s="60"/>
      <c r="D107" s="56"/>
      <c r="E107" s="56"/>
      <c r="F107" s="56"/>
      <c r="G107" s="60"/>
      <c r="H107" s="60"/>
      <c r="I107" s="56"/>
      <c r="J107" s="56"/>
      <c r="K107" s="60"/>
      <c r="L107" s="56"/>
      <c r="M107" s="245"/>
      <c r="N107" s="245"/>
      <c r="O107" s="65"/>
    </row>
    <row r="108" spans="2:15" ht="12.75">
      <c r="B108" s="59" t="s">
        <v>181</v>
      </c>
      <c r="C108" s="60"/>
      <c r="D108" s="56"/>
      <c r="E108" s="56"/>
      <c r="F108" s="56"/>
      <c r="G108" s="60"/>
      <c r="H108" s="60"/>
      <c r="I108" s="56"/>
      <c r="J108" s="56"/>
      <c r="K108" s="60"/>
      <c r="L108" s="56"/>
      <c r="M108" s="245"/>
      <c r="N108" s="245"/>
      <c r="O108" s="65"/>
    </row>
    <row r="109" spans="2:15" ht="12.75">
      <c r="B109" s="59"/>
      <c r="C109" s="60">
        <v>8</v>
      </c>
      <c r="D109" s="56" t="s">
        <v>1</v>
      </c>
      <c r="E109" s="56"/>
      <c r="F109" s="56"/>
      <c r="G109" s="538">
        <v>2912</v>
      </c>
      <c r="H109" s="538"/>
      <c r="I109" s="56" t="s">
        <v>3</v>
      </c>
      <c r="J109" s="56"/>
      <c r="K109" s="60"/>
      <c r="L109" s="56"/>
      <c r="M109" s="245" t="s">
        <v>2</v>
      </c>
      <c r="N109" s="204">
        <f>G109*C109</f>
        <v>23296</v>
      </c>
      <c r="O109" s="65"/>
    </row>
    <row r="110" spans="2:15" ht="12.75">
      <c r="B110" s="525" t="s">
        <v>373</v>
      </c>
      <c r="C110" s="526"/>
      <c r="D110" s="526"/>
      <c r="E110" s="526"/>
      <c r="F110" s="526"/>
      <c r="G110" s="526"/>
      <c r="H110" s="526"/>
      <c r="I110" s="526"/>
      <c r="J110" s="526"/>
      <c r="K110" s="526"/>
      <c r="L110" s="528"/>
      <c r="M110" s="245"/>
      <c r="N110" s="204"/>
      <c r="O110" s="65"/>
    </row>
    <row r="111" spans="2:15" ht="12.75">
      <c r="B111" s="45"/>
      <c r="C111" s="487">
        <v>1</v>
      </c>
      <c r="D111" s="60"/>
      <c r="E111" s="60" t="s">
        <v>0</v>
      </c>
      <c r="F111" s="60"/>
      <c r="G111" s="488"/>
      <c r="H111" s="488">
        <v>6521.92</v>
      </c>
      <c r="I111" s="60"/>
      <c r="J111" s="60"/>
      <c r="K111" s="60"/>
      <c r="L111" s="60"/>
      <c r="M111" s="245" t="s">
        <v>2</v>
      </c>
      <c r="N111" s="204">
        <f>C111*H111</f>
        <v>6521.92</v>
      </c>
      <c r="O111" s="65"/>
    </row>
    <row r="112" spans="2:15" ht="12.75">
      <c r="B112" s="59" t="s">
        <v>176</v>
      </c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245"/>
      <c r="N112" s="245"/>
      <c r="O112" s="65"/>
    </row>
    <row r="113" spans="2:15" ht="12.75">
      <c r="B113" s="59"/>
      <c r="C113" s="450">
        <v>12</v>
      </c>
      <c r="D113" s="56" t="s">
        <v>1</v>
      </c>
      <c r="E113" s="56" t="s">
        <v>0</v>
      </c>
      <c r="F113" s="56"/>
      <c r="G113" s="507">
        <v>550</v>
      </c>
      <c r="H113" s="507"/>
      <c r="I113" s="56" t="s">
        <v>3</v>
      </c>
      <c r="J113" s="56"/>
      <c r="K113" s="56"/>
      <c r="L113" s="56"/>
      <c r="M113" s="245" t="s">
        <v>2</v>
      </c>
      <c r="N113" s="204">
        <f>C113*G113</f>
        <v>6600</v>
      </c>
      <c r="O113" s="65"/>
    </row>
    <row r="114" spans="2:15" ht="12.75">
      <c r="B114" s="59" t="s">
        <v>179</v>
      </c>
      <c r="C114" s="60"/>
      <c r="D114" s="56"/>
      <c r="E114" s="56"/>
      <c r="F114" s="56"/>
      <c r="G114" s="56"/>
      <c r="H114" s="56"/>
      <c r="I114" s="56"/>
      <c r="J114" s="56"/>
      <c r="K114" s="56"/>
      <c r="L114" s="56"/>
      <c r="M114" s="245" t="s">
        <v>2</v>
      </c>
      <c r="N114" s="245"/>
      <c r="O114" s="65"/>
    </row>
    <row r="115" spans="2:15" ht="12.75">
      <c r="B115" s="59"/>
      <c r="C115" s="450">
        <v>12</v>
      </c>
      <c r="D115" s="56" t="s">
        <v>1</v>
      </c>
      <c r="E115" s="56" t="s">
        <v>0</v>
      </c>
      <c r="F115" s="56"/>
      <c r="G115" s="507">
        <v>671</v>
      </c>
      <c r="H115" s="507"/>
      <c r="I115" s="56" t="s">
        <v>3</v>
      </c>
      <c r="J115" s="56"/>
      <c r="K115" s="56"/>
      <c r="L115" s="56"/>
      <c r="M115" s="245" t="s">
        <v>2</v>
      </c>
      <c r="N115" s="204">
        <f>C115*G115</f>
        <v>8052</v>
      </c>
      <c r="O115" s="65"/>
    </row>
    <row r="116" spans="2:15" ht="12.75">
      <c r="B116" s="59" t="s">
        <v>192</v>
      </c>
      <c r="C116" s="60"/>
      <c r="D116" s="56"/>
      <c r="E116" s="56"/>
      <c r="F116" s="56"/>
      <c r="G116" s="60"/>
      <c r="H116" s="60"/>
      <c r="I116" s="56"/>
      <c r="J116" s="56"/>
      <c r="K116" s="56"/>
      <c r="L116" s="56"/>
      <c r="M116" s="245"/>
      <c r="N116" s="245"/>
      <c r="O116" s="65"/>
    </row>
    <row r="117" spans="2:15" ht="12.75">
      <c r="B117" s="59"/>
      <c r="C117" s="60">
        <v>4</v>
      </c>
      <c r="D117" s="56" t="s">
        <v>193</v>
      </c>
      <c r="E117" s="56" t="s">
        <v>0</v>
      </c>
      <c r="F117" s="56"/>
      <c r="G117" s="538">
        <v>4060</v>
      </c>
      <c r="H117" s="538"/>
      <c r="I117" s="56" t="s">
        <v>3</v>
      </c>
      <c r="J117" s="56"/>
      <c r="K117" s="56"/>
      <c r="L117" s="56"/>
      <c r="M117" s="245" t="s">
        <v>2</v>
      </c>
      <c r="N117" s="204">
        <f>C117*G117</f>
        <v>16240</v>
      </c>
      <c r="O117" s="65"/>
    </row>
    <row r="118" spans="2:15" ht="12.75">
      <c r="B118" s="59" t="s">
        <v>374</v>
      </c>
      <c r="C118" s="60"/>
      <c r="D118" s="56"/>
      <c r="E118" s="56"/>
      <c r="F118" s="56"/>
      <c r="G118" s="60"/>
      <c r="H118" s="60"/>
      <c r="I118" s="56"/>
      <c r="J118" s="56"/>
      <c r="K118" s="56"/>
      <c r="L118" s="56"/>
      <c r="M118" s="245"/>
      <c r="N118" s="245"/>
      <c r="O118" s="65"/>
    </row>
    <row r="119" spans="2:15" ht="12.75">
      <c r="B119" s="59"/>
      <c r="C119" s="450">
        <v>70000</v>
      </c>
      <c r="D119" s="56" t="s">
        <v>89</v>
      </c>
      <c r="E119" s="56" t="s">
        <v>0</v>
      </c>
      <c r="F119" s="56"/>
      <c r="G119" s="507">
        <v>1</v>
      </c>
      <c r="H119" s="507"/>
      <c r="I119" s="56" t="s">
        <v>84</v>
      </c>
      <c r="J119" s="56"/>
      <c r="K119" s="56"/>
      <c r="L119" s="56"/>
      <c r="M119" s="245" t="s">
        <v>2</v>
      </c>
      <c r="N119" s="204">
        <f>C119*G119</f>
        <v>70000</v>
      </c>
      <c r="O119" s="65"/>
    </row>
    <row r="120" spans="2:15" ht="12.75">
      <c r="B120" s="59" t="s">
        <v>375</v>
      </c>
      <c r="C120" s="60"/>
      <c r="D120" s="56"/>
      <c r="E120" s="56"/>
      <c r="F120" s="56"/>
      <c r="G120" s="56"/>
      <c r="H120" s="56"/>
      <c r="I120" s="56"/>
      <c r="J120" s="56"/>
      <c r="K120" s="56"/>
      <c r="L120" s="56"/>
      <c r="M120" s="245"/>
      <c r="N120" s="245"/>
      <c r="O120" s="65"/>
    </row>
    <row r="121" spans="2:15" ht="12.75">
      <c r="B121" s="59"/>
      <c r="C121" s="450">
        <v>4600</v>
      </c>
      <c r="D121" s="56" t="s">
        <v>89</v>
      </c>
      <c r="E121" s="56" t="s">
        <v>0</v>
      </c>
      <c r="F121" s="56"/>
      <c r="G121" s="507">
        <v>1</v>
      </c>
      <c r="H121" s="507"/>
      <c r="I121" s="56" t="s">
        <v>84</v>
      </c>
      <c r="J121" s="56"/>
      <c r="K121" s="56"/>
      <c r="L121" s="56"/>
      <c r="M121" s="245" t="s">
        <v>2</v>
      </c>
      <c r="N121" s="204">
        <f>C121*G121</f>
        <v>4600</v>
      </c>
      <c r="O121" s="65"/>
    </row>
    <row r="122" spans="2:15" ht="12.75">
      <c r="B122" s="59" t="s">
        <v>376</v>
      </c>
      <c r="C122" s="450"/>
      <c r="D122" s="56"/>
      <c r="E122" s="56"/>
      <c r="F122" s="56"/>
      <c r="G122" s="450"/>
      <c r="H122" s="450"/>
      <c r="I122" s="56"/>
      <c r="J122" s="56"/>
      <c r="K122" s="56"/>
      <c r="L122" s="56"/>
      <c r="M122" s="245"/>
      <c r="N122" s="204"/>
      <c r="O122" s="65"/>
    </row>
    <row r="123" spans="2:15" ht="12.75">
      <c r="B123" s="59" t="s">
        <v>377</v>
      </c>
      <c r="C123" s="450">
        <v>4400</v>
      </c>
      <c r="D123" s="56" t="s">
        <v>89</v>
      </c>
      <c r="E123" s="56" t="s">
        <v>0</v>
      </c>
      <c r="F123" s="56"/>
      <c r="G123" s="450"/>
      <c r="H123" s="450">
        <v>1</v>
      </c>
      <c r="I123" s="56" t="s">
        <v>84</v>
      </c>
      <c r="J123" s="56"/>
      <c r="K123" s="56"/>
      <c r="L123" s="56"/>
      <c r="M123" s="245" t="s">
        <v>2</v>
      </c>
      <c r="N123" s="204">
        <f>C123+C124*H124</f>
        <v>8600</v>
      </c>
      <c r="O123" s="65"/>
    </row>
    <row r="124" spans="2:15" ht="12.75">
      <c r="B124" s="59" t="s">
        <v>378</v>
      </c>
      <c r="C124" s="450">
        <v>350</v>
      </c>
      <c r="D124" s="56" t="s">
        <v>89</v>
      </c>
      <c r="E124" s="56" t="s">
        <v>0</v>
      </c>
      <c r="F124" s="56"/>
      <c r="G124" s="450"/>
      <c r="H124" s="450">
        <v>12</v>
      </c>
      <c r="I124" s="56" t="s">
        <v>84</v>
      </c>
      <c r="J124" s="56"/>
      <c r="K124" s="56"/>
      <c r="L124" s="56"/>
      <c r="M124" s="245"/>
      <c r="N124" s="204"/>
      <c r="O124" s="65"/>
    </row>
    <row r="125" spans="2:15" ht="12.75">
      <c r="B125" s="59" t="s">
        <v>375</v>
      </c>
      <c r="C125" s="450"/>
      <c r="D125" s="56"/>
      <c r="E125" s="56"/>
      <c r="F125" s="56"/>
      <c r="G125" s="450"/>
      <c r="H125" s="450"/>
      <c r="I125" s="56"/>
      <c r="J125" s="56"/>
      <c r="K125" s="56"/>
      <c r="L125" s="56"/>
      <c r="M125" s="245"/>
      <c r="N125" s="204"/>
      <c r="O125" s="65"/>
    </row>
    <row r="126" spans="2:15" ht="12.75">
      <c r="B126" s="59"/>
      <c r="C126" s="450">
        <v>4600</v>
      </c>
      <c r="D126" s="56" t="s">
        <v>89</v>
      </c>
      <c r="E126" s="56" t="s">
        <v>0</v>
      </c>
      <c r="F126" s="56"/>
      <c r="G126" s="450"/>
      <c r="H126" s="450">
        <v>1</v>
      </c>
      <c r="I126" s="56" t="s">
        <v>84</v>
      </c>
      <c r="J126" s="56"/>
      <c r="K126" s="56"/>
      <c r="L126" s="56"/>
      <c r="M126" s="245" t="s">
        <v>2</v>
      </c>
      <c r="N126" s="204">
        <f>C126*H126</f>
        <v>4600</v>
      </c>
      <c r="O126" s="65"/>
    </row>
    <row r="127" spans="2:15" ht="12.75">
      <c r="B127" s="59" t="s">
        <v>379</v>
      </c>
      <c r="C127" s="450"/>
      <c r="D127" s="56"/>
      <c r="E127" s="56"/>
      <c r="F127" s="56"/>
      <c r="G127" s="450"/>
      <c r="H127" s="450"/>
      <c r="I127" s="56"/>
      <c r="J127" s="56"/>
      <c r="K127" s="56"/>
      <c r="L127" s="56"/>
      <c r="M127" s="245"/>
      <c r="N127" s="204"/>
      <c r="O127" s="65"/>
    </row>
    <row r="128" spans="2:15" ht="12.75">
      <c r="B128" s="59"/>
      <c r="C128" s="450">
        <v>1300</v>
      </c>
      <c r="D128" s="56" t="s">
        <v>89</v>
      </c>
      <c r="E128" s="56" t="s">
        <v>0</v>
      </c>
      <c r="F128" s="56"/>
      <c r="G128" s="450"/>
      <c r="H128" s="450">
        <v>1</v>
      </c>
      <c r="I128" s="56" t="s">
        <v>84</v>
      </c>
      <c r="J128" s="56"/>
      <c r="K128" s="56"/>
      <c r="L128" s="56"/>
      <c r="M128" s="245" t="s">
        <v>2</v>
      </c>
      <c r="N128" s="204">
        <f>C128*H128</f>
        <v>1300</v>
      </c>
      <c r="O128" s="65"/>
    </row>
    <row r="129" spans="2:15" ht="12.75">
      <c r="B129" s="59" t="s">
        <v>183</v>
      </c>
      <c r="C129" s="60"/>
      <c r="D129" s="56"/>
      <c r="E129" s="56"/>
      <c r="F129" s="56"/>
      <c r="G129" s="56"/>
      <c r="H129" s="56"/>
      <c r="I129" s="56"/>
      <c r="J129" s="56"/>
      <c r="K129" s="56"/>
      <c r="L129" s="56"/>
      <c r="M129" s="245"/>
      <c r="N129" s="245"/>
      <c r="O129" s="65"/>
    </row>
    <row r="130" spans="2:15" ht="12.75">
      <c r="B130" s="59"/>
      <c r="C130" s="450">
        <v>12</v>
      </c>
      <c r="D130" s="56" t="s">
        <v>1</v>
      </c>
      <c r="E130" s="56" t="s">
        <v>0</v>
      </c>
      <c r="F130" s="56"/>
      <c r="G130" s="507">
        <v>6200</v>
      </c>
      <c r="H130" s="507"/>
      <c r="I130" s="56" t="s">
        <v>3</v>
      </c>
      <c r="J130" s="56"/>
      <c r="K130" s="56"/>
      <c r="L130" s="56"/>
      <c r="M130" s="245" t="s">
        <v>2</v>
      </c>
      <c r="N130" s="204">
        <f>ROUND(C130*G130,2)</f>
        <v>74400</v>
      </c>
      <c r="O130" s="65"/>
    </row>
    <row r="131" spans="2:15" ht="12.75">
      <c r="B131" s="59" t="s">
        <v>380</v>
      </c>
      <c r="C131" s="450"/>
      <c r="D131" s="56"/>
      <c r="E131" s="56"/>
      <c r="F131" s="56"/>
      <c r="G131" s="450"/>
      <c r="H131" s="450"/>
      <c r="I131" s="56"/>
      <c r="J131" s="56"/>
      <c r="K131" s="56"/>
      <c r="L131" s="56"/>
      <c r="M131" s="245"/>
      <c r="N131" s="204"/>
      <c r="O131" s="65"/>
    </row>
    <row r="132" spans="2:15" ht="12.75">
      <c r="B132" s="59"/>
      <c r="C132" s="450">
        <v>1</v>
      </c>
      <c r="D132" s="56" t="s">
        <v>1</v>
      </c>
      <c r="E132" s="56" t="s">
        <v>0</v>
      </c>
      <c r="F132" s="56"/>
      <c r="G132" s="450"/>
      <c r="H132" s="450">
        <v>3390</v>
      </c>
      <c r="I132" s="56" t="s">
        <v>3</v>
      </c>
      <c r="J132" s="56"/>
      <c r="K132" s="56"/>
      <c r="L132" s="56"/>
      <c r="M132" s="245" t="s">
        <v>2</v>
      </c>
      <c r="N132" s="204">
        <f>C132*H132</f>
        <v>3390</v>
      </c>
      <c r="O132" s="65"/>
    </row>
    <row r="133" spans="2:15" ht="12.75">
      <c r="B133" s="59" t="s">
        <v>191</v>
      </c>
      <c r="C133" s="60"/>
      <c r="D133" s="56"/>
      <c r="E133" s="56"/>
      <c r="F133" s="56"/>
      <c r="G133" s="60"/>
      <c r="H133" s="60"/>
      <c r="I133" s="56"/>
      <c r="J133" s="56"/>
      <c r="K133" s="56"/>
      <c r="L133" s="56"/>
      <c r="M133" s="245"/>
      <c r="N133" s="245"/>
      <c r="O133" s="65"/>
    </row>
    <row r="134" spans="2:15" ht="12.75">
      <c r="B134" s="59"/>
      <c r="C134" s="450">
        <v>12</v>
      </c>
      <c r="D134" s="56" t="s">
        <v>1</v>
      </c>
      <c r="E134" s="56" t="s">
        <v>0</v>
      </c>
      <c r="F134" s="56"/>
      <c r="G134" s="507">
        <v>500</v>
      </c>
      <c r="H134" s="507"/>
      <c r="I134" s="56" t="s">
        <v>3</v>
      </c>
      <c r="J134" s="56"/>
      <c r="K134" s="56"/>
      <c r="L134" s="56"/>
      <c r="M134" s="245" t="s">
        <v>2</v>
      </c>
      <c r="N134" s="204">
        <f>C134*G134</f>
        <v>6000</v>
      </c>
      <c r="O134" s="65"/>
    </row>
    <row r="135" spans="2:15" ht="12.75">
      <c r="B135" s="59" t="s">
        <v>381</v>
      </c>
      <c r="C135" s="450"/>
      <c r="D135" s="56"/>
      <c r="E135" s="56"/>
      <c r="F135" s="56"/>
      <c r="G135" s="450"/>
      <c r="H135" s="450"/>
      <c r="I135" s="56"/>
      <c r="J135" s="56"/>
      <c r="K135" s="56"/>
      <c r="L135" s="56"/>
      <c r="M135" s="245"/>
      <c r="N135" s="204"/>
      <c r="O135" s="65"/>
    </row>
    <row r="136" spans="2:15" ht="12.75">
      <c r="B136" s="59"/>
      <c r="C136" s="450">
        <v>90</v>
      </c>
      <c r="D136" s="56" t="s">
        <v>84</v>
      </c>
      <c r="E136" s="56"/>
      <c r="F136" s="56" t="s">
        <v>0</v>
      </c>
      <c r="G136" s="450"/>
      <c r="H136" s="489">
        <v>301.435</v>
      </c>
      <c r="I136" s="56" t="s">
        <v>3</v>
      </c>
      <c r="J136" s="56"/>
      <c r="K136" s="56"/>
      <c r="L136" s="56"/>
      <c r="M136" s="245" t="s">
        <v>2</v>
      </c>
      <c r="N136" s="204">
        <v>27129.15</v>
      </c>
      <c r="O136" s="65"/>
    </row>
    <row r="137" spans="2:15" ht="12.75">
      <c r="B137" s="59" t="s">
        <v>382</v>
      </c>
      <c r="C137" s="60"/>
      <c r="D137" s="56"/>
      <c r="E137" s="56"/>
      <c r="F137" s="56"/>
      <c r="G137" s="60"/>
      <c r="H137" s="60"/>
      <c r="I137" s="56"/>
      <c r="J137" s="56"/>
      <c r="K137" s="56"/>
      <c r="L137" s="56"/>
      <c r="M137" s="245"/>
      <c r="N137" s="204"/>
      <c r="O137" s="65"/>
    </row>
    <row r="138" spans="2:15" ht="12.75">
      <c r="B138" s="59"/>
      <c r="C138" s="487">
        <v>12</v>
      </c>
      <c r="D138" s="56" t="s">
        <v>84</v>
      </c>
      <c r="E138" s="56" t="s">
        <v>0</v>
      </c>
      <c r="F138" s="56"/>
      <c r="G138" s="540">
        <v>400</v>
      </c>
      <c r="H138" s="540"/>
      <c r="I138" s="56" t="s">
        <v>3</v>
      </c>
      <c r="J138" s="56"/>
      <c r="K138" s="56"/>
      <c r="L138" s="56"/>
      <c r="M138" s="245" t="s">
        <v>2</v>
      </c>
      <c r="N138" s="204">
        <f>C138*G138</f>
        <v>4800</v>
      </c>
      <c r="O138" s="65"/>
    </row>
    <row r="139" spans="2:15" ht="12.75">
      <c r="B139" s="59" t="s">
        <v>90</v>
      </c>
      <c r="C139" s="487"/>
      <c r="D139" s="56"/>
      <c r="E139" s="56"/>
      <c r="F139" s="56"/>
      <c r="G139" s="487"/>
      <c r="H139" s="487"/>
      <c r="I139" s="56"/>
      <c r="J139" s="56"/>
      <c r="K139" s="56"/>
      <c r="L139" s="56"/>
      <c r="M139" s="245" t="s">
        <v>2</v>
      </c>
      <c r="N139" s="204">
        <v>632.08</v>
      </c>
      <c r="O139" s="65"/>
    </row>
    <row r="140" spans="2:15" ht="12.75">
      <c r="B140" s="59" t="s">
        <v>383</v>
      </c>
      <c r="C140" s="60"/>
      <c r="D140" s="56"/>
      <c r="E140" s="56"/>
      <c r="F140" s="56"/>
      <c r="G140" s="60"/>
      <c r="H140" s="60"/>
      <c r="I140" s="56"/>
      <c r="J140" s="56"/>
      <c r="K140" s="56"/>
      <c r="L140" s="56"/>
      <c r="M140" s="245"/>
      <c r="N140" s="204"/>
      <c r="O140" s="65"/>
    </row>
    <row r="141" spans="2:15" ht="13.5" thickBot="1">
      <c r="B141" s="132"/>
      <c r="C141" s="490">
        <v>12</v>
      </c>
      <c r="D141" s="133" t="s">
        <v>84</v>
      </c>
      <c r="E141" s="133" t="s">
        <v>0</v>
      </c>
      <c r="F141" s="133"/>
      <c r="G141" s="490"/>
      <c r="H141" s="490">
        <v>400</v>
      </c>
      <c r="I141" s="133" t="s">
        <v>3</v>
      </c>
      <c r="J141" s="133"/>
      <c r="K141" s="133"/>
      <c r="L141" s="133"/>
      <c r="M141" s="245" t="s">
        <v>2</v>
      </c>
      <c r="N141" s="204">
        <f>C141*H141</f>
        <v>4800</v>
      </c>
      <c r="O141" s="65"/>
    </row>
    <row r="142" spans="2:15" ht="12.75">
      <c r="B142" s="511" t="s">
        <v>32</v>
      </c>
      <c r="C142" s="511"/>
      <c r="D142" s="511"/>
      <c r="E142" s="511"/>
      <c r="F142" s="511"/>
      <c r="G142" s="511"/>
      <c r="H142" s="511"/>
      <c r="I142" s="511"/>
      <c r="J142" s="511"/>
      <c r="K142" s="511"/>
      <c r="L142" s="511"/>
      <c r="M142" s="511"/>
      <c r="N142" s="511"/>
      <c r="O142" s="511"/>
    </row>
    <row r="143" spans="2:15" ht="12.75">
      <c r="B143" s="512" t="s">
        <v>33</v>
      </c>
      <c r="C143" s="512"/>
      <c r="D143" s="512"/>
      <c r="E143" s="512"/>
      <c r="F143" s="512"/>
      <c r="G143" s="512"/>
      <c r="H143" s="512"/>
      <c r="I143" s="512"/>
      <c r="J143" s="512"/>
      <c r="K143" s="512"/>
      <c r="L143" s="512"/>
      <c r="M143" s="512"/>
      <c r="N143" s="512"/>
      <c r="O143" s="512"/>
    </row>
    <row r="144" spans="2:15" ht="12.75">
      <c r="B144" s="512" t="s">
        <v>15</v>
      </c>
      <c r="C144" s="512"/>
      <c r="D144" s="512"/>
      <c r="E144" s="512"/>
      <c r="F144" s="512"/>
      <c r="G144" s="512"/>
      <c r="H144" s="512"/>
      <c r="I144" s="512"/>
      <c r="J144" s="512"/>
      <c r="K144" s="512"/>
      <c r="L144" s="512"/>
      <c r="M144" s="512"/>
      <c r="N144" s="512"/>
      <c r="O144" s="512"/>
    </row>
    <row r="145" spans="2:15" ht="13.5" thickBot="1"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73" t="s">
        <v>3</v>
      </c>
    </row>
    <row r="146" spans="2:17" ht="13.5" thickBot="1"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225">
        <f>ROUND((N148+N150+N154+N158+N160+N161+N157+N159),0)</f>
        <v>403751</v>
      </c>
      <c r="Q146" s="430"/>
    </row>
    <row r="147" spans="2:15" ht="12.75">
      <c r="B147" s="336" t="s">
        <v>195</v>
      </c>
      <c r="C147" s="334"/>
      <c r="D147" s="334"/>
      <c r="E147" s="334"/>
      <c r="F147" s="334"/>
      <c r="G147" s="334"/>
      <c r="H147" s="334"/>
      <c r="I147" s="334"/>
      <c r="J147" s="334"/>
      <c r="K147" s="334"/>
      <c r="L147" s="334"/>
      <c r="M147" s="334"/>
      <c r="N147" s="335"/>
      <c r="O147" s="123"/>
    </row>
    <row r="148" spans="2:15" ht="12.75">
      <c r="B148" s="53"/>
      <c r="C148" s="54"/>
      <c r="D148" s="54"/>
      <c r="E148" s="54"/>
      <c r="F148" s="49"/>
      <c r="G148" s="507">
        <v>3206.16</v>
      </c>
      <c r="H148" s="507"/>
      <c r="I148" s="49" t="s">
        <v>3</v>
      </c>
      <c r="J148" s="49" t="s">
        <v>0</v>
      </c>
      <c r="K148" s="50">
        <v>12</v>
      </c>
      <c r="L148" s="49" t="s">
        <v>30</v>
      </c>
      <c r="M148" s="49" t="s">
        <v>2</v>
      </c>
      <c r="N148" s="240">
        <f>ROUND(G148*K148,2)</f>
        <v>38473.92</v>
      </c>
      <c r="O148" s="111"/>
    </row>
    <row r="149" spans="2:15" ht="12.75">
      <c r="B149" s="53" t="s">
        <v>196</v>
      </c>
      <c r="C149" s="54"/>
      <c r="D149" s="54"/>
      <c r="E149" s="54"/>
      <c r="F149" s="49"/>
      <c r="G149" s="535"/>
      <c r="H149" s="535"/>
      <c r="I149" s="49"/>
      <c r="J149" s="49"/>
      <c r="K149" s="49"/>
      <c r="L149" s="49"/>
      <c r="M149" s="49"/>
      <c r="N149" s="246"/>
      <c r="O149" s="111"/>
    </row>
    <row r="150" spans="2:15" ht="12.75">
      <c r="B150" s="525" t="s">
        <v>34</v>
      </c>
      <c r="C150" s="526"/>
      <c r="D150" s="507">
        <v>160</v>
      </c>
      <c r="E150" s="507"/>
      <c r="F150" s="57" t="s">
        <v>18</v>
      </c>
      <c r="G150" s="538" t="s">
        <v>0</v>
      </c>
      <c r="H150" s="538"/>
      <c r="I150" s="75">
        <v>1350</v>
      </c>
      <c r="J150" s="57" t="s">
        <v>2</v>
      </c>
      <c r="K150" s="539">
        <f>ROUND(D150*I150,2)</f>
        <v>216000</v>
      </c>
      <c r="L150" s="539"/>
      <c r="M150" s="539"/>
      <c r="N150" s="247">
        <f>K150+K151+K153+K152+10</f>
        <v>263430</v>
      </c>
      <c r="O150" s="124"/>
    </row>
    <row r="151" spans="2:15" ht="12.75">
      <c r="B151" s="55"/>
      <c r="C151" s="77" t="s">
        <v>35</v>
      </c>
      <c r="D151" s="507">
        <v>19</v>
      </c>
      <c r="E151" s="507"/>
      <c r="F151" s="57" t="s">
        <v>18</v>
      </c>
      <c r="G151" s="538" t="s">
        <v>0</v>
      </c>
      <c r="H151" s="538"/>
      <c r="I151" s="75">
        <v>1160</v>
      </c>
      <c r="J151" s="57" t="s">
        <v>2</v>
      </c>
      <c r="K151" s="539">
        <f>ROUND(D151*I151,2)</f>
        <v>22040</v>
      </c>
      <c r="L151" s="539"/>
      <c r="M151" s="539"/>
      <c r="N151" s="248"/>
      <c r="O151" s="111"/>
    </row>
    <row r="152" spans="2:15" ht="12.75">
      <c r="B152" s="55"/>
      <c r="C152" s="77" t="s">
        <v>91</v>
      </c>
      <c r="D152" s="507">
        <v>19</v>
      </c>
      <c r="E152" s="507"/>
      <c r="F152" s="57" t="s">
        <v>18</v>
      </c>
      <c r="G152" s="538" t="s">
        <v>0</v>
      </c>
      <c r="H152" s="538"/>
      <c r="I152" s="75">
        <v>120</v>
      </c>
      <c r="J152" s="57" t="s">
        <v>2</v>
      </c>
      <c r="K152" s="539">
        <f>D152*I152</f>
        <v>2280</v>
      </c>
      <c r="L152" s="539"/>
      <c r="M152" s="539"/>
      <c r="N152" s="248"/>
      <c r="O152" s="111"/>
    </row>
    <row r="153" spans="2:15" ht="12.75">
      <c r="B153" s="51"/>
      <c r="C153" s="78" t="s">
        <v>36</v>
      </c>
      <c r="D153" s="521">
        <v>154</v>
      </c>
      <c r="E153" s="521"/>
      <c r="F153" s="52" t="s">
        <v>18</v>
      </c>
      <c r="G153" s="520" t="s">
        <v>0</v>
      </c>
      <c r="H153" s="520"/>
      <c r="I153" s="79">
        <v>150</v>
      </c>
      <c r="J153" s="52" t="s">
        <v>2</v>
      </c>
      <c r="K153" s="541">
        <f>ROUND(D153*I153,2)</f>
        <v>23100</v>
      </c>
      <c r="L153" s="541"/>
      <c r="M153" s="541"/>
      <c r="N153" s="248"/>
      <c r="O153" s="111"/>
    </row>
    <row r="154" spans="2:15" ht="12.75">
      <c r="B154" s="59" t="s">
        <v>197</v>
      </c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2"/>
      <c r="N154" s="204">
        <v>28985.84</v>
      </c>
      <c r="O154" s="124"/>
    </row>
    <row r="155" spans="2:15" ht="12.75">
      <c r="B155" s="59"/>
      <c r="C155" s="56"/>
      <c r="D155" s="507">
        <v>2347.6</v>
      </c>
      <c r="E155" s="507"/>
      <c r="F155" s="56" t="s">
        <v>3</v>
      </c>
      <c r="G155" s="538" t="s">
        <v>0</v>
      </c>
      <c r="H155" s="538"/>
      <c r="I155" s="389">
        <v>10</v>
      </c>
      <c r="J155" s="56" t="s">
        <v>2</v>
      </c>
      <c r="K155" s="507">
        <f>D155*I155</f>
        <v>23476</v>
      </c>
      <c r="L155" s="507"/>
      <c r="M155" s="507"/>
      <c r="N155" s="245"/>
      <c r="O155" s="111"/>
    </row>
    <row r="156" spans="2:15" ht="12.75">
      <c r="B156" s="59" t="s">
        <v>390</v>
      </c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2"/>
      <c r="N156" s="245"/>
      <c r="O156" s="111"/>
    </row>
    <row r="157" spans="2:15" ht="12.75">
      <c r="B157" s="59"/>
      <c r="C157" s="56"/>
      <c r="D157" s="507">
        <v>521.24</v>
      </c>
      <c r="E157" s="507"/>
      <c r="F157" s="56" t="s">
        <v>3</v>
      </c>
      <c r="G157" s="538" t="s">
        <v>0</v>
      </c>
      <c r="H157" s="538"/>
      <c r="I157" s="452">
        <v>1</v>
      </c>
      <c r="J157" s="56" t="s">
        <v>2</v>
      </c>
      <c r="K157" s="507">
        <f>D157*I157</f>
        <v>521.24</v>
      </c>
      <c r="L157" s="507"/>
      <c r="M157" s="507"/>
      <c r="N157" s="245">
        <f>K157</f>
        <v>521.24</v>
      </c>
      <c r="O157" s="111"/>
    </row>
    <row r="158" spans="2:15" ht="12.75">
      <c r="B158" s="59" t="s">
        <v>198</v>
      </c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2"/>
      <c r="N158" s="204">
        <v>3700</v>
      </c>
      <c r="O158" s="124"/>
    </row>
    <row r="159" spans="2:15" ht="12.75" hidden="1">
      <c r="B159" s="59" t="s">
        <v>200</v>
      </c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2"/>
      <c r="N159" s="204">
        <v>0</v>
      </c>
      <c r="O159" s="111"/>
    </row>
    <row r="160" spans="2:15" ht="12.75">
      <c r="B160" s="525" t="s">
        <v>391</v>
      </c>
      <c r="C160" s="526"/>
      <c r="D160" s="526"/>
      <c r="E160" s="526"/>
      <c r="F160" s="526"/>
      <c r="G160" s="526"/>
      <c r="H160" s="526"/>
      <c r="I160" s="526"/>
      <c r="J160" s="526"/>
      <c r="K160" s="526"/>
      <c r="L160" s="526"/>
      <c r="M160" s="52"/>
      <c r="N160" s="204">
        <v>4978.99</v>
      </c>
      <c r="O160" s="111"/>
    </row>
    <row r="161" spans="2:15" ht="13.5" thickBot="1">
      <c r="B161" s="536" t="s">
        <v>199</v>
      </c>
      <c r="C161" s="537"/>
      <c r="D161" s="537"/>
      <c r="E161" s="537"/>
      <c r="F161" s="537"/>
      <c r="G161" s="537"/>
      <c r="H161" s="537"/>
      <c r="I161" s="537"/>
      <c r="J161" s="537"/>
      <c r="K161" s="537"/>
      <c r="L161" s="537"/>
      <c r="M161" s="96"/>
      <c r="N161" s="204">
        <f>68640-4458-520.99</f>
        <v>63661.01</v>
      </c>
      <c r="O161" s="125"/>
    </row>
    <row r="162" spans="1:15" ht="12.75">
      <c r="A162" s="6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52"/>
      <c r="N162" s="52"/>
      <c r="O162" s="52"/>
    </row>
    <row r="163" spans="1:15" ht="12.75">
      <c r="A163" s="6"/>
      <c r="B163" s="511" t="s">
        <v>37</v>
      </c>
      <c r="C163" s="511"/>
      <c r="D163" s="511"/>
      <c r="E163" s="511"/>
      <c r="F163" s="511"/>
      <c r="G163" s="511"/>
      <c r="H163" s="511"/>
      <c r="I163" s="511"/>
      <c r="J163" s="511"/>
      <c r="K163" s="511"/>
      <c r="L163" s="511"/>
      <c r="M163" s="511"/>
      <c r="N163" s="511"/>
      <c r="O163" s="511"/>
    </row>
    <row r="164" spans="1:15" ht="12.75">
      <c r="A164" s="6"/>
      <c r="B164" s="512" t="s">
        <v>38</v>
      </c>
      <c r="C164" s="512"/>
      <c r="D164" s="512"/>
      <c r="E164" s="512"/>
      <c r="F164" s="512"/>
      <c r="G164" s="512"/>
      <c r="H164" s="512"/>
      <c r="I164" s="512"/>
      <c r="J164" s="512"/>
      <c r="K164" s="512"/>
      <c r="L164" s="512"/>
      <c r="M164" s="512"/>
      <c r="N164" s="512"/>
      <c r="O164" s="512"/>
    </row>
    <row r="165" spans="1:15" ht="12.75">
      <c r="A165" s="6"/>
      <c r="B165" s="512" t="s">
        <v>15</v>
      </c>
      <c r="C165" s="512"/>
      <c r="D165" s="512"/>
      <c r="E165" s="512"/>
      <c r="F165" s="512"/>
      <c r="G165" s="512"/>
      <c r="H165" s="512"/>
      <c r="I165" s="512"/>
      <c r="J165" s="512"/>
      <c r="K165" s="512"/>
      <c r="L165" s="512"/>
      <c r="M165" s="512"/>
      <c r="N165" s="512"/>
      <c r="O165" s="512"/>
    </row>
    <row r="166" spans="1:15" ht="13.5" thickBot="1">
      <c r="A166" s="6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 t="s">
        <v>3</v>
      </c>
    </row>
    <row r="167" spans="1:16" ht="13.5" thickBot="1">
      <c r="A167" s="6"/>
      <c r="B167" s="513"/>
      <c r="C167" s="513"/>
      <c r="D167" s="513"/>
      <c r="E167" s="513"/>
      <c r="F167" s="513"/>
      <c r="G167" s="513"/>
      <c r="H167" s="513"/>
      <c r="I167" s="513"/>
      <c r="J167" s="513"/>
      <c r="K167" s="513"/>
      <c r="L167" s="513"/>
      <c r="M167" s="513"/>
      <c r="N167" s="513"/>
      <c r="O167" s="225">
        <f>F170+F174</f>
        <v>4199065.51</v>
      </c>
      <c r="P167" s="430"/>
    </row>
    <row r="168" spans="2:15" ht="12.75">
      <c r="B168" s="89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126"/>
      <c r="O168" s="93"/>
    </row>
    <row r="169" spans="2:15" ht="12.75">
      <c r="B169" s="59" t="s">
        <v>39</v>
      </c>
      <c r="C169" s="56"/>
      <c r="D169" s="56"/>
      <c r="E169" s="56"/>
      <c r="F169" s="56"/>
      <c r="G169" s="56"/>
      <c r="H169" s="56"/>
      <c r="I169" s="56"/>
      <c r="J169" s="52"/>
      <c r="K169" s="542"/>
      <c r="L169" s="542"/>
      <c r="M169" s="52"/>
      <c r="N169" s="104"/>
      <c r="O169" s="94"/>
    </row>
    <row r="170" spans="2:15" ht="12.75">
      <c r="B170" s="128">
        <v>171503772.73</v>
      </c>
      <c r="C170" s="60" t="s">
        <v>0</v>
      </c>
      <c r="D170" s="129">
        <v>0.022</v>
      </c>
      <c r="E170" s="56" t="s">
        <v>2</v>
      </c>
      <c r="F170" s="539">
        <f>ROUND(B170*D170,)-0.49</f>
        <v>3773082.51</v>
      </c>
      <c r="G170" s="539"/>
      <c r="H170" s="539"/>
      <c r="I170" s="56"/>
      <c r="J170" s="57"/>
      <c r="K170" s="57"/>
      <c r="L170" s="57"/>
      <c r="M170" s="57"/>
      <c r="N170" s="105"/>
      <c r="O170" s="94"/>
    </row>
    <row r="171" spans="2:15" ht="12.75">
      <c r="B171" s="525"/>
      <c r="C171" s="526"/>
      <c r="D171" s="526"/>
      <c r="E171" s="526"/>
      <c r="F171" s="526"/>
      <c r="G171" s="526"/>
      <c r="H171" s="526"/>
      <c r="I171" s="526"/>
      <c r="J171" s="526"/>
      <c r="K171" s="526"/>
      <c r="L171" s="526"/>
      <c r="M171" s="57"/>
      <c r="N171" s="106"/>
      <c r="O171" s="94"/>
    </row>
    <row r="172" spans="2:15" ht="12.75">
      <c r="B172" s="130" t="s">
        <v>40</v>
      </c>
      <c r="C172" s="66"/>
      <c r="D172" s="52"/>
      <c r="E172" s="52"/>
      <c r="F172" s="52"/>
      <c r="G172" s="52"/>
      <c r="H172" s="543"/>
      <c r="I172" s="543"/>
      <c r="J172" s="52"/>
      <c r="K172" s="542"/>
      <c r="L172" s="542"/>
      <c r="M172" s="52"/>
      <c r="N172" s="104"/>
      <c r="O172" s="94"/>
    </row>
    <row r="173" spans="2:15" ht="12.75">
      <c r="B173" s="130" t="s">
        <v>41</v>
      </c>
      <c r="C173" s="66"/>
      <c r="D173" s="52"/>
      <c r="E173" s="52"/>
      <c r="F173" s="52"/>
      <c r="G173" s="52"/>
      <c r="H173" s="62"/>
      <c r="I173" s="62"/>
      <c r="J173" s="52"/>
      <c r="K173" s="127"/>
      <c r="L173" s="127"/>
      <c r="M173" s="52"/>
      <c r="N173" s="104"/>
      <c r="O173" s="94"/>
    </row>
    <row r="174" spans="2:15" ht="12.75">
      <c r="B174" s="128">
        <f>12309024.42+11516170.38+4573656.44</f>
        <v>28398851.240000002</v>
      </c>
      <c r="C174" s="60" t="s">
        <v>0</v>
      </c>
      <c r="D174" s="129">
        <v>0.015</v>
      </c>
      <c r="E174" s="56" t="s">
        <v>2</v>
      </c>
      <c r="F174" s="539">
        <f>ROUND(B174*D174,)</f>
        <v>425983</v>
      </c>
      <c r="G174" s="539"/>
      <c r="H174" s="539"/>
      <c r="I174" s="56"/>
      <c r="J174" s="56"/>
      <c r="K174" s="56"/>
      <c r="L174" s="56"/>
      <c r="M174" s="57"/>
      <c r="N174" s="105"/>
      <c r="O174" s="94"/>
    </row>
    <row r="175" spans="2:15" ht="13.5" thickBot="1">
      <c r="B175" s="522"/>
      <c r="C175" s="523"/>
      <c r="D175" s="523"/>
      <c r="E175" s="523"/>
      <c r="F175" s="523"/>
      <c r="G175" s="523"/>
      <c r="H175" s="523"/>
      <c r="I175" s="96"/>
      <c r="J175" s="96"/>
      <c r="K175" s="96"/>
      <c r="L175" s="96"/>
      <c r="M175" s="96"/>
      <c r="N175" s="131"/>
      <c r="O175" s="98"/>
    </row>
    <row r="176" spans="2:15" ht="12.75">
      <c r="B176" s="62"/>
      <c r="C176" s="62"/>
      <c r="D176" s="62"/>
      <c r="E176" s="62"/>
      <c r="F176" s="62"/>
      <c r="G176" s="62"/>
      <c r="H176" s="62"/>
      <c r="I176" s="52"/>
      <c r="J176" s="52"/>
      <c r="K176" s="52"/>
      <c r="L176" s="52"/>
      <c r="M176" s="52"/>
      <c r="N176" s="52"/>
      <c r="O176" s="52"/>
    </row>
    <row r="177" spans="2:15" ht="12.75">
      <c r="B177" s="511" t="s">
        <v>10</v>
      </c>
      <c r="C177" s="511"/>
      <c r="D177" s="511"/>
      <c r="E177" s="511"/>
      <c r="F177" s="511"/>
      <c r="G177" s="511"/>
      <c r="H177" s="511"/>
      <c r="I177" s="511"/>
      <c r="J177" s="511"/>
      <c r="K177" s="511"/>
      <c r="L177" s="511"/>
      <c r="M177" s="511"/>
      <c r="N177" s="511"/>
      <c r="O177" s="511"/>
    </row>
    <row r="178" spans="2:15" ht="12.75">
      <c r="B178" s="512" t="s">
        <v>11</v>
      </c>
      <c r="C178" s="512"/>
      <c r="D178" s="512"/>
      <c r="E178" s="512"/>
      <c r="F178" s="512"/>
      <c r="G178" s="512"/>
      <c r="H178" s="512"/>
      <c r="I178" s="512"/>
      <c r="J178" s="512"/>
      <c r="K178" s="512"/>
      <c r="L178" s="512"/>
      <c r="M178" s="512"/>
      <c r="N178" s="512"/>
      <c r="O178" s="512"/>
    </row>
    <row r="179" spans="2:15" ht="12.75">
      <c r="B179" s="512" t="s">
        <v>15</v>
      </c>
      <c r="C179" s="512"/>
      <c r="D179" s="512"/>
      <c r="E179" s="512"/>
      <c r="F179" s="512"/>
      <c r="G179" s="512"/>
      <c r="H179" s="512"/>
      <c r="I179" s="512"/>
      <c r="J179" s="512"/>
      <c r="K179" s="512"/>
      <c r="L179" s="512"/>
      <c r="M179" s="512"/>
      <c r="N179" s="512"/>
      <c r="O179" s="512"/>
    </row>
    <row r="180" spans="2:15" ht="13.5" thickBot="1"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 t="s">
        <v>3</v>
      </c>
    </row>
    <row r="181" spans="2:15" ht="13.5" thickBot="1">
      <c r="B181" s="513"/>
      <c r="C181" s="513"/>
      <c r="D181" s="513"/>
      <c r="E181" s="513"/>
      <c r="F181" s="513"/>
      <c r="G181" s="513"/>
      <c r="H181" s="513"/>
      <c r="I181" s="513"/>
      <c r="J181" s="513"/>
      <c r="K181" s="513"/>
      <c r="L181" s="513"/>
      <c r="M181" s="513"/>
      <c r="N181" s="513"/>
      <c r="O181" s="225">
        <f>SUM(N182,N183:N183)</f>
        <v>369794</v>
      </c>
    </row>
    <row r="182" spans="2:15" ht="12.75">
      <c r="B182" s="89" t="s">
        <v>201</v>
      </c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337">
        <v>88074</v>
      </c>
      <c r="O182" s="93"/>
    </row>
    <row r="183" spans="2:15" ht="13.5" thickBot="1">
      <c r="B183" s="132" t="s">
        <v>92</v>
      </c>
      <c r="C183" s="133"/>
      <c r="D183" s="133"/>
      <c r="E183" s="133"/>
      <c r="F183" s="133"/>
      <c r="G183" s="133"/>
      <c r="H183" s="133"/>
      <c r="I183" s="96"/>
      <c r="J183" s="96"/>
      <c r="K183" s="96"/>
      <c r="L183" s="96"/>
      <c r="M183" s="96"/>
      <c r="N183" s="338">
        <v>281720</v>
      </c>
      <c r="O183" s="98"/>
    </row>
    <row r="184" spans="2:15" ht="12.75">
      <c r="B184" s="62"/>
      <c r="C184" s="62"/>
      <c r="D184" s="62"/>
      <c r="E184" s="62"/>
      <c r="F184" s="62"/>
      <c r="G184" s="62"/>
      <c r="H184" s="62"/>
      <c r="I184" s="52"/>
      <c r="J184" s="52"/>
      <c r="K184" s="52"/>
      <c r="L184" s="52"/>
      <c r="M184" s="52"/>
      <c r="N184" s="52"/>
      <c r="O184" s="52"/>
    </row>
    <row r="185" spans="2:15" ht="12.75">
      <c r="B185" s="62"/>
      <c r="C185" s="62"/>
      <c r="D185" s="62"/>
      <c r="E185" s="62"/>
      <c r="F185" s="62"/>
      <c r="G185" s="62"/>
      <c r="H185" s="62"/>
      <c r="I185" s="52"/>
      <c r="J185" s="52"/>
      <c r="K185" s="52"/>
      <c r="L185" s="52"/>
      <c r="M185" s="52"/>
      <c r="N185" s="52"/>
      <c r="O185" s="52"/>
    </row>
    <row r="186" spans="2:15" ht="12.75">
      <c r="B186" s="544" t="s">
        <v>42</v>
      </c>
      <c r="C186" s="544"/>
      <c r="D186" s="84" t="s">
        <v>43</v>
      </c>
      <c r="E186" s="545"/>
      <c r="F186" s="545"/>
      <c r="G186" s="545"/>
      <c r="H186" s="545"/>
      <c r="I186" s="5"/>
      <c r="J186" s="5"/>
      <c r="K186" s="6" t="s">
        <v>12</v>
      </c>
      <c r="L186" s="6"/>
      <c r="M186" s="6"/>
      <c r="N186" s="6"/>
      <c r="O186" s="6"/>
    </row>
    <row r="187" spans="2:15" ht="12.75">
      <c r="B187" s="7"/>
      <c r="C187" s="7"/>
      <c r="D187" s="7"/>
      <c r="E187" s="5"/>
      <c r="F187" s="5"/>
      <c r="G187" s="5"/>
      <c r="H187" s="5"/>
      <c r="I187" s="5"/>
      <c r="J187" s="5"/>
      <c r="K187" s="5" t="s">
        <v>5</v>
      </c>
      <c r="L187" s="6"/>
      <c r="M187" s="6"/>
      <c r="N187" s="6"/>
      <c r="O187" s="6"/>
    </row>
    <row r="188" spans="2:15" ht="12.75">
      <c r="B188" s="7"/>
      <c r="C188" s="7"/>
      <c r="D188" s="7"/>
      <c r="E188" s="7"/>
      <c r="F188" s="7"/>
      <c r="G188" s="7"/>
      <c r="H188" s="7"/>
      <c r="I188" s="7"/>
      <c r="J188" s="5"/>
      <c r="K188" s="5"/>
      <c r="L188" s="6"/>
      <c r="M188" s="6"/>
      <c r="N188" s="6"/>
      <c r="O188" s="6"/>
    </row>
    <row r="189" spans="2:15" ht="12.75">
      <c r="B189" s="544" t="s">
        <v>44</v>
      </c>
      <c r="C189" s="544"/>
      <c r="D189" s="84" t="s">
        <v>43</v>
      </c>
      <c r="E189" s="545"/>
      <c r="F189" s="545"/>
      <c r="G189" s="545"/>
      <c r="H189" s="545"/>
      <c r="I189" s="5"/>
      <c r="J189" s="5"/>
      <c r="K189" s="5" t="s">
        <v>289</v>
      </c>
      <c r="L189" s="6"/>
      <c r="M189" s="6"/>
      <c r="N189" s="6"/>
      <c r="O189" s="6"/>
    </row>
    <row r="190" spans="2:15" ht="12.75">
      <c r="B190" s="6"/>
      <c r="C190" s="6"/>
      <c r="D190" s="6"/>
      <c r="E190" s="5"/>
      <c r="F190" s="5"/>
      <c r="G190" s="6"/>
      <c r="H190" s="6"/>
      <c r="I190" s="6"/>
      <c r="J190" s="5"/>
      <c r="K190" s="5" t="s">
        <v>5</v>
      </c>
      <c r="L190" s="6"/>
      <c r="M190" s="6"/>
      <c r="N190" s="6"/>
      <c r="O190" s="6"/>
    </row>
    <row r="191" spans="2:15" ht="12.7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</row>
  </sheetData>
  <sheetProtection/>
  <mergeCells count="127">
    <mergeCell ref="G106:H106"/>
    <mergeCell ref="G109:H109"/>
    <mergeCell ref="B110:L110"/>
    <mergeCell ref="G113:H113"/>
    <mergeCell ref="G115:H115"/>
    <mergeCell ref="G119:H119"/>
    <mergeCell ref="G117:H117"/>
    <mergeCell ref="G87:H87"/>
    <mergeCell ref="F88:H88"/>
    <mergeCell ref="G90:H90"/>
    <mergeCell ref="B91:L91"/>
    <mergeCell ref="K93:L93"/>
    <mergeCell ref="G95:H95"/>
    <mergeCell ref="B178:O178"/>
    <mergeCell ref="B179:O179"/>
    <mergeCell ref="B181:N181"/>
    <mergeCell ref="B186:C186"/>
    <mergeCell ref="E186:H186"/>
    <mergeCell ref="B189:C189"/>
    <mergeCell ref="E189:H189"/>
    <mergeCell ref="H172:I172"/>
    <mergeCell ref="K172:L172"/>
    <mergeCell ref="F174:H174"/>
    <mergeCell ref="B175:E175"/>
    <mergeCell ref="F175:H175"/>
    <mergeCell ref="B177:O177"/>
    <mergeCell ref="B164:O164"/>
    <mergeCell ref="B165:O165"/>
    <mergeCell ref="B167:N167"/>
    <mergeCell ref="K169:L169"/>
    <mergeCell ref="F170:H170"/>
    <mergeCell ref="B171:L171"/>
    <mergeCell ref="D155:E155"/>
    <mergeCell ref="G155:H155"/>
    <mergeCell ref="K155:M155"/>
    <mergeCell ref="B160:L160"/>
    <mergeCell ref="B161:L161"/>
    <mergeCell ref="B163:O163"/>
    <mergeCell ref="D152:E152"/>
    <mergeCell ref="G152:H152"/>
    <mergeCell ref="K152:M152"/>
    <mergeCell ref="D153:E153"/>
    <mergeCell ref="G153:H153"/>
    <mergeCell ref="K153:M153"/>
    <mergeCell ref="G149:H149"/>
    <mergeCell ref="B150:C150"/>
    <mergeCell ref="D150:E150"/>
    <mergeCell ref="G150:H150"/>
    <mergeCell ref="K150:M150"/>
    <mergeCell ref="D151:E151"/>
    <mergeCell ref="G151:H151"/>
    <mergeCell ref="K151:M151"/>
    <mergeCell ref="G121:H121"/>
    <mergeCell ref="G130:H130"/>
    <mergeCell ref="G134:H134"/>
    <mergeCell ref="G138:H138"/>
    <mergeCell ref="B144:O144"/>
    <mergeCell ref="G148:H148"/>
    <mergeCell ref="D157:E157"/>
    <mergeCell ref="G157:H157"/>
    <mergeCell ref="K157:M157"/>
    <mergeCell ref="G93:H93"/>
    <mergeCell ref="G96:H96"/>
    <mergeCell ref="G104:H104"/>
    <mergeCell ref="G98:H98"/>
    <mergeCell ref="G101:H101"/>
    <mergeCell ref="B142:O142"/>
    <mergeCell ref="B143:O143"/>
    <mergeCell ref="G85:H85"/>
    <mergeCell ref="G71:H71"/>
    <mergeCell ref="B72:M72"/>
    <mergeCell ref="B73:O73"/>
    <mergeCell ref="B74:O74"/>
    <mergeCell ref="B75:O75"/>
    <mergeCell ref="G82:H82"/>
    <mergeCell ref="B63:N63"/>
    <mergeCell ref="G64:H64"/>
    <mergeCell ref="G65:H65"/>
    <mergeCell ref="G67:H67"/>
    <mergeCell ref="G68:H68"/>
    <mergeCell ref="G69:H69"/>
    <mergeCell ref="G54:H54"/>
    <mergeCell ref="G55:H55"/>
    <mergeCell ref="B58:N58"/>
    <mergeCell ref="B59:N59"/>
    <mergeCell ref="G60:H60"/>
    <mergeCell ref="B62:N62"/>
    <mergeCell ref="B43:O43"/>
    <mergeCell ref="B44:O44"/>
    <mergeCell ref="B47:N47"/>
    <mergeCell ref="G48:H48"/>
    <mergeCell ref="G51:H51"/>
    <mergeCell ref="G52:H52"/>
    <mergeCell ref="B50:K50"/>
    <mergeCell ref="D37:E37"/>
    <mergeCell ref="H37:I37"/>
    <mergeCell ref="D39:E39"/>
    <mergeCell ref="H39:I39"/>
    <mergeCell ref="B40:L40"/>
    <mergeCell ref="B42:O42"/>
    <mergeCell ref="B30:O30"/>
    <mergeCell ref="B31:O31"/>
    <mergeCell ref="B32:O32"/>
    <mergeCell ref="B35:N35"/>
    <mergeCell ref="D36:E36"/>
    <mergeCell ref="H36:I36"/>
    <mergeCell ref="B23:O23"/>
    <mergeCell ref="B25:N25"/>
    <mergeCell ref="D26:F26"/>
    <mergeCell ref="M26:N26"/>
    <mergeCell ref="D27:F27"/>
    <mergeCell ref="M27:N27"/>
    <mergeCell ref="B13:O13"/>
    <mergeCell ref="B14:O14"/>
    <mergeCell ref="B15:O15"/>
    <mergeCell ref="B17:N17"/>
    <mergeCell ref="B21:O21"/>
    <mergeCell ref="B22:O22"/>
    <mergeCell ref="D9:F9"/>
    <mergeCell ref="M9:N9"/>
    <mergeCell ref="B1:O1"/>
    <mergeCell ref="B3:O3"/>
    <mergeCell ref="B4:O4"/>
    <mergeCell ref="B5:O5"/>
    <mergeCell ref="B7:N7"/>
    <mergeCell ref="D8:F8"/>
    <mergeCell ref="M8:N8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71" r:id="rId1"/>
  <rowBreaks count="2" manualBreakCount="2">
    <brk id="72" max="255" man="1"/>
    <brk id="16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zoomScaleSheetLayoutView="100" zoomScalePageLayoutView="0" workbookViewId="0" topLeftCell="A26">
      <selection activeCell="Q24" sqref="Q24"/>
    </sheetView>
  </sheetViews>
  <sheetFormatPr defaultColWidth="9.00390625" defaultRowHeight="12.75"/>
  <cols>
    <col min="1" max="1" width="0.875" style="0" customWidth="1"/>
    <col min="2" max="2" width="5.75390625" style="0" customWidth="1"/>
    <col min="3" max="3" width="4.875" style="0" customWidth="1"/>
    <col min="4" max="4" width="11.75390625" style="0" customWidth="1"/>
    <col min="5" max="5" width="5.75390625" style="0" customWidth="1"/>
    <col min="6" max="6" width="1.25" style="0" customWidth="1"/>
    <col min="7" max="7" width="4.75390625" style="0" customWidth="1"/>
    <col min="8" max="8" width="5.125" style="0" customWidth="1"/>
    <col min="10" max="10" width="3.125" style="0" customWidth="1"/>
    <col min="11" max="11" width="2.625" style="0" customWidth="1"/>
    <col min="12" max="12" width="3.75390625" style="0" customWidth="1"/>
    <col min="14" max="14" width="20.75390625" style="0" customWidth="1"/>
    <col min="15" max="15" width="12.875" style="0" customWidth="1"/>
    <col min="17" max="17" width="11.625" style="0" bestFit="1" customWidth="1"/>
  </cols>
  <sheetData>
    <row r="1" spans="1:15" ht="15.75" customHeight="1">
      <c r="A1" s="510" t="s">
        <v>324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</row>
    <row r="2" spans="1:15" ht="22.5" customHeight="1">
      <c r="A2" s="510"/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</row>
    <row r="3" spans="2:15" s="1" customFormat="1" ht="15.75" customHeight="1">
      <c r="B3" s="500" t="s">
        <v>6</v>
      </c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</row>
    <row r="4" spans="2:15" s="1" customFormat="1" ht="15.75" customHeight="1">
      <c r="B4" s="501" t="s">
        <v>7</v>
      </c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</row>
    <row r="5" spans="2:15" s="1" customFormat="1" ht="15.75" customHeight="1">
      <c r="B5" s="501" t="s">
        <v>93</v>
      </c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</row>
    <row r="6" spans="2:15" s="1" customFormat="1" ht="15.75" customHeight="1" thickBo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 t="s">
        <v>3</v>
      </c>
    </row>
    <row r="7" spans="2:15" s="1" customFormat="1" ht="17.25" customHeight="1" thickBot="1">
      <c r="B7" s="513"/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13"/>
      <c r="N7" s="513"/>
      <c r="O7" s="225">
        <f>ROUND(M8+M10,0)+M9</f>
        <v>40793060</v>
      </c>
    </row>
    <row r="8" spans="2:15" s="1" customFormat="1" ht="13.5" thickBot="1">
      <c r="B8" s="16"/>
      <c r="C8" s="24"/>
      <c r="D8" s="554">
        <v>3399422</v>
      </c>
      <c r="E8" s="554"/>
      <c r="F8" s="554"/>
      <c r="G8" s="17" t="s">
        <v>0</v>
      </c>
      <c r="H8" s="25">
        <v>8</v>
      </c>
      <c r="I8" s="17" t="s">
        <v>1</v>
      </c>
      <c r="J8" s="17" t="s">
        <v>2</v>
      </c>
      <c r="K8" s="24"/>
      <c r="L8" s="24"/>
      <c r="M8" s="557">
        <f>ROUND(D8*H8,2)</f>
        <v>27195376</v>
      </c>
      <c r="N8" s="558"/>
      <c r="O8" s="15"/>
    </row>
    <row r="9" spans="2:15" s="1" customFormat="1" ht="12.75">
      <c r="B9" s="9"/>
      <c r="C9" s="444"/>
      <c r="D9" s="447">
        <v>3056119</v>
      </c>
      <c r="E9" s="447"/>
      <c r="F9" s="447"/>
      <c r="G9" s="2"/>
      <c r="H9" s="445">
        <v>3</v>
      </c>
      <c r="I9" s="2" t="s">
        <v>1</v>
      </c>
      <c r="J9" s="2" t="s">
        <v>2</v>
      </c>
      <c r="K9" s="444"/>
      <c r="L9" s="444"/>
      <c r="M9" s="557">
        <f>ROUND(D9*H9,2)</f>
        <v>9168357</v>
      </c>
      <c r="N9" s="558"/>
      <c r="O9" s="446"/>
    </row>
    <row r="10" spans="2:15" s="1" customFormat="1" ht="13.5" thickBot="1">
      <c r="B10" s="10"/>
      <c r="C10" s="26"/>
      <c r="D10" s="559">
        <v>4429327</v>
      </c>
      <c r="E10" s="559"/>
      <c r="F10" s="559"/>
      <c r="G10" s="11" t="s">
        <v>0</v>
      </c>
      <c r="H10" s="250">
        <v>1</v>
      </c>
      <c r="I10" s="11" t="s">
        <v>1</v>
      </c>
      <c r="J10" s="11" t="s">
        <v>0</v>
      </c>
      <c r="K10" s="23"/>
      <c r="L10" s="207" t="s">
        <v>2</v>
      </c>
      <c r="M10" s="560">
        <f>ROUND(D10*H10,)</f>
        <v>4429327</v>
      </c>
      <c r="N10" s="561"/>
      <c r="O10" s="12"/>
    </row>
    <row r="12" spans="2:15" s="1" customFormat="1" ht="12.75">
      <c r="B12" s="500" t="s">
        <v>8</v>
      </c>
      <c r="C12" s="500"/>
      <c r="D12" s="500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</row>
    <row r="13" spans="2:15" s="1" customFormat="1" ht="12.75">
      <c r="B13" s="501" t="s">
        <v>9</v>
      </c>
      <c r="C13" s="501"/>
      <c r="D13" s="501"/>
      <c r="E13" s="501"/>
      <c r="F13" s="501"/>
      <c r="G13" s="501"/>
      <c r="H13" s="501"/>
      <c r="I13" s="501"/>
      <c r="J13" s="501"/>
      <c r="K13" s="501"/>
      <c r="L13" s="501"/>
      <c r="M13" s="501"/>
      <c r="N13" s="501"/>
      <c r="O13" s="501"/>
    </row>
    <row r="14" spans="2:15" s="1" customFormat="1" ht="12.75">
      <c r="B14" s="501" t="s">
        <v>93</v>
      </c>
      <c r="C14" s="501"/>
      <c r="D14" s="501"/>
      <c r="E14" s="501"/>
      <c r="F14" s="501"/>
      <c r="G14" s="501"/>
      <c r="H14" s="501"/>
      <c r="I14" s="501"/>
      <c r="J14" s="501"/>
      <c r="K14" s="501"/>
      <c r="L14" s="501"/>
      <c r="M14" s="501"/>
      <c r="N14" s="501"/>
      <c r="O14" s="501"/>
    </row>
    <row r="15" spans="2:15" s="1" customFormat="1" ht="13.5" thickBot="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 t="s">
        <v>3</v>
      </c>
    </row>
    <row r="16" spans="2:15" s="1" customFormat="1" ht="13.5" thickBot="1">
      <c r="B16" s="513"/>
      <c r="C16" s="513"/>
      <c r="D16" s="513"/>
      <c r="E16" s="513"/>
      <c r="F16" s="513"/>
      <c r="G16" s="513"/>
      <c r="H16" s="513"/>
      <c r="I16" s="513"/>
      <c r="J16" s="513"/>
      <c r="K16" s="513"/>
      <c r="L16" s="513"/>
      <c r="M16" s="513"/>
      <c r="N16" s="513"/>
      <c r="O16" s="226">
        <f>G17</f>
        <v>12319504</v>
      </c>
    </row>
    <row r="17" spans="2:15" s="1" customFormat="1" ht="12.75">
      <c r="B17" s="18"/>
      <c r="C17" s="555">
        <v>0.302</v>
      </c>
      <c r="D17" s="555"/>
      <c r="E17" s="19" t="s">
        <v>4</v>
      </c>
      <c r="F17" s="251"/>
      <c r="G17" s="556">
        <v>12319504</v>
      </c>
      <c r="H17" s="556"/>
      <c r="I17" s="556"/>
      <c r="J17" s="251"/>
      <c r="K17" s="251"/>
      <c r="L17" s="251"/>
      <c r="M17" s="251"/>
      <c r="N17" s="252"/>
      <c r="O17" s="15"/>
    </row>
    <row r="18" spans="2:15" s="1" customFormat="1" ht="13.5" thickBot="1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2"/>
    </row>
    <row r="19" spans="2:15" s="1" customFormat="1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2:15" s="1" customFormat="1" ht="12" customHeight="1">
      <c r="B20" s="500" t="s">
        <v>32</v>
      </c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</row>
    <row r="21" spans="2:15" s="1" customFormat="1" ht="12" customHeight="1">
      <c r="B21" s="501" t="s">
        <v>33</v>
      </c>
      <c r="C21" s="501"/>
      <c r="D21" s="501"/>
      <c r="E21" s="501"/>
      <c r="F21" s="501"/>
      <c r="G21" s="501"/>
      <c r="H21" s="501"/>
      <c r="I21" s="501"/>
      <c r="J21" s="501"/>
      <c r="K21" s="501"/>
      <c r="L21" s="501"/>
      <c r="M21" s="501"/>
      <c r="N21" s="501"/>
      <c r="O21" s="501"/>
    </row>
    <row r="22" spans="2:15" s="1" customFormat="1" ht="12" customHeight="1">
      <c r="B22" s="501" t="s">
        <v>93</v>
      </c>
      <c r="C22" s="501"/>
      <c r="D22" s="501"/>
      <c r="E22" s="501"/>
      <c r="F22" s="501"/>
      <c r="G22" s="501"/>
      <c r="H22" s="501"/>
      <c r="I22" s="501"/>
      <c r="J22" s="501"/>
      <c r="K22" s="501"/>
      <c r="L22" s="501"/>
      <c r="M22" s="501"/>
      <c r="N22" s="501"/>
      <c r="O22" s="501"/>
    </row>
    <row r="23" spans="2:18" s="1" customFormat="1" ht="12" customHeight="1" thickBo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73" t="s">
        <v>3</v>
      </c>
      <c r="R23" s="1" t="s">
        <v>48</v>
      </c>
    </row>
    <row r="24" spans="2:15" s="1" customFormat="1" ht="12" customHeight="1" thickBo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225">
        <f>N25</f>
        <v>33802</v>
      </c>
    </row>
    <row r="25" spans="2:15" s="1" customFormat="1" ht="12" customHeight="1">
      <c r="B25" s="135" t="s">
        <v>346</v>
      </c>
      <c r="C25" s="19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253">
        <v>33802</v>
      </c>
      <c r="O25" s="249"/>
    </row>
    <row r="26" spans="2:15" s="1" customFormat="1" ht="12" customHeight="1" thickBot="1">
      <c r="B26" s="550" t="s">
        <v>347</v>
      </c>
      <c r="C26" s="551"/>
      <c r="D26" s="551"/>
      <c r="E26" s="551"/>
      <c r="F26" s="551"/>
      <c r="G26" s="551"/>
      <c r="H26" s="551"/>
      <c r="I26" s="551"/>
      <c r="J26" s="551"/>
      <c r="K26" s="551"/>
      <c r="L26" s="11"/>
      <c r="M26" s="11"/>
      <c r="N26" s="136"/>
      <c r="O26" s="137"/>
    </row>
    <row r="28" spans="2:15" s="1" customFormat="1" ht="12.75">
      <c r="B28" s="500" t="s">
        <v>10</v>
      </c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</row>
    <row r="29" spans="2:15" s="1" customFormat="1" ht="12.75">
      <c r="B29" s="501" t="s">
        <v>11</v>
      </c>
      <c r="C29" s="501"/>
      <c r="D29" s="501"/>
      <c r="E29" s="501"/>
      <c r="F29" s="501"/>
      <c r="G29" s="501"/>
      <c r="H29" s="501"/>
      <c r="I29" s="501"/>
      <c r="J29" s="501"/>
      <c r="K29" s="501"/>
      <c r="L29" s="501"/>
      <c r="M29" s="501"/>
      <c r="N29" s="501"/>
      <c r="O29" s="501"/>
    </row>
    <row r="30" spans="2:15" s="1" customFormat="1" ht="12.75">
      <c r="B30" s="501" t="s">
        <v>93</v>
      </c>
      <c r="C30" s="501"/>
      <c r="D30" s="501"/>
      <c r="E30" s="501"/>
      <c r="F30" s="501"/>
      <c r="G30" s="501"/>
      <c r="H30" s="501"/>
      <c r="I30" s="501"/>
      <c r="J30" s="501"/>
      <c r="K30" s="501"/>
      <c r="L30" s="501"/>
      <c r="M30" s="501"/>
      <c r="N30" s="501"/>
      <c r="O30" s="501"/>
    </row>
    <row r="31" spans="2:15" s="1" customFormat="1" ht="13.5" thickBot="1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 t="s">
        <v>3</v>
      </c>
    </row>
    <row r="32" spans="2:15" s="1" customFormat="1" ht="13.5" thickBot="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227">
        <f>N33+N34+N35</f>
        <v>341532</v>
      </c>
    </row>
    <row r="33" spans="2:15" s="1" customFormat="1" ht="24.75" customHeight="1">
      <c r="B33" s="29" t="s">
        <v>348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254">
        <v>194329.4</v>
      </c>
      <c r="O33" s="20"/>
    </row>
    <row r="34" spans="2:15" s="1" customFormat="1" ht="24.75" customHeight="1">
      <c r="B34" s="454" t="s">
        <v>349</v>
      </c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455">
        <v>44742.6</v>
      </c>
      <c r="O34" s="21"/>
    </row>
    <row r="35" spans="2:15" s="1" customFormat="1" ht="13.5" thickBot="1">
      <c r="B35" s="552" t="s">
        <v>350</v>
      </c>
      <c r="C35" s="553"/>
      <c r="D35" s="553"/>
      <c r="E35" s="553"/>
      <c r="F35" s="26"/>
      <c r="G35" s="26"/>
      <c r="H35" s="26"/>
      <c r="I35" s="26"/>
      <c r="J35" s="26"/>
      <c r="K35" s="26"/>
      <c r="L35" s="31"/>
      <c r="M35" s="23"/>
      <c r="N35" s="456">
        <v>102460</v>
      </c>
      <c r="O35" s="22"/>
    </row>
    <row r="37" spans="2:11" s="6" customFormat="1" ht="38.25" customHeight="1">
      <c r="B37" s="562" t="s">
        <v>13</v>
      </c>
      <c r="C37" s="562"/>
      <c r="D37" s="562"/>
      <c r="E37" s="545"/>
      <c r="F37" s="545"/>
      <c r="G37" s="545"/>
      <c r="H37" s="545"/>
      <c r="I37" s="28"/>
      <c r="J37" s="5"/>
      <c r="K37" s="6" t="s">
        <v>12</v>
      </c>
    </row>
    <row r="38" spans="2:11" s="6" customFormat="1" ht="12.75">
      <c r="B38" s="7"/>
      <c r="C38" s="7"/>
      <c r="D38" s="7"/>
      <c r="E38" s="5"/>
      <c r="F38" s="5"/>
      <c r="G38" s="5"/>
      <c r="H38" s="5"/>
      <c r="I38" s="5"/>
      <c r="J38" s="5"/>
      <c r="K38" s="5" t="s">
        <v>5</v>
      </c>
    </row>
    <row r="39" spans="2:11" s="6" customFormat="1" ht="12.75">
      <c r="B39" s="7"/>
      <c r="C39" s="7"/>
      <c r="D39" s="7"/>
      <c r="E39" s="7"/>
      <c r="F39" s="7"/>
      <c r="G39" s="7"/>
      <c r="H39" s="7"/>
      <c r="I39" s="7"/>
      <c r="J39" s="5"/>
      <c r="K39" s="5"/>
    </row>
    <row r="40" spans="2:11" s="6" customFormat="1" ht="12.75">
      <c r="B40" s="562" t="s">
        <v>14</v>
      </c>
      <c r="C40" s="562"/>
      <c r="D40" s="562"/>
      <c r="E40" s="545"/>
      <c r="F40" s="545"/>
      <c r="G40" s="545"/>
      <c r="H40" s="545"/>
      <c r="I40" s="28"/>
      <c r="J40" s="5"/>
      <c r="K40" s="5" t="s">
        <v>289</v>
      </c>
    </row>
    <row r="41" spans="5:11" s="6" customFormat="1" ht="12.75">
      <c r="E41" s="5"/>
      <c r="F41" s="5"/>
      <c r="J41" s="5"/>
      <c r="K41" s="5" t="s">
        <v>5</v>
      </c>
    </row>
  </sheetData>
  <sheetProtection/>
  <mergeCells count="28">
    <mergeCell ref="E37:H37"/>
    <mergeCell ref="E40:H40"/>
    <mergeCell ref="B37:D37"/>
    <mergeCell ref="B40:D40"/>
    <mergeCell ref="B30:O30"/>
    <mergeCell ref="B20:O20"/>
    <mergeCell ref="B21:O21"/>
    <mergeCell ref="B22:O22"/>
    <mergeCell ref="B28:O28"/>
    <mergeCell ref="B29:O29"/>
    <mergeCell ref="G17:I17"/>
    <mergeCell ref="B14:O14"/>
    <mergeCell ref="M8:N8"/>
    <mergeCell ref="B12:O12"/>
    <mergeCell ref="D10:F10"/>
    <mergeCell ref="B16:N16"/>
    <mergeCell ref="M10:N10"/>
    <mergeCell ref="M9:N9"/>
    <mergeCell ref="B26:K26"/>
    <mergeCell ref="B35:E35"/>
    <mergeCell ref="A1:O2"/>
    <mergeCell ref="B3:O3"/>
    <mergeCell ref="B4:O4"/>
    <mergeCell ref="B5:O5"/>
    <mergeCell ref="D8:F8"/>
    <mergeCell ref="B7:N7"/>
    <mergeCell ref="C17:D17"/>
    <mergeCell ref="B13:O13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SheetLayoutView="100" zoomScalePageLayoutView="0" workbookViewId="0" topLeftCell="A1">
      <selection activeCell="T19" sqref="T19"/>
    </sheetView>
  </sheetViews>
  <sheetFormatPr defaultColWidth="9.00390625" defaultRowHeight="12.75"/>
  <cols>
    <col min="1" max="1" width="13.625" style="1" customWidth="1"/>
    <col min="2" max="2" width="12.625" style="1" customWidth="1"/>
    <col min="3" max="3" width="7.75390625" style="1" customWidth="1"/>
    <col min="4" max="4" width="1.625" style="1" customWidth="1"/>
    <col min="5" max="5" width="8.75390625" style="1" customWidth="1"/>
    <col min="6" max="6" width="4.125" style="1" customWidth="1"/>
    <col min="7" max="7" width="2.375" style="1" customWidth="1"/>
    <col min="8" max="8" width="2.75390625" style="1" customWidth="1"/>
    <col min="9" max="9" width="4.25390625" style="1" customWidth="1"/>
    <col min="10" max="10" width="3.25390625" style="1" customWidth="1"/>
    <col min="11" max="11" width="1.875" style="1" customWidth="1"/>
    <col min="12" max="12" width="3.125" style="1" customWidth="1"/>
    <col min="13" max="13" width="9.875" style="1" customWidth="1"/>
    <col min="14" max="14" width="13.875" style="1" customWidth="1"/>
  </cols>
  <sheetData>
    <row r="1" spans="1:14" ht="32.25" customHeight="1">
      <c r="A1" s="510" t="s">
        <v>324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</row>
    <row r="2" spans="1:14" ht="12.75">
      <c r="A2" s="500" t="s">
        <v>45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</row>
    <row r="3" spans="1:14" ht="12.75">
      <c r="A3" s="564" t="s">
        <v>56</v>
      </c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</row>
    <row r="4" spans="1:14" ht="12.75">
      <c r="A4" s="501" t="s">
        <v>94</v>
      </c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</row>
    <row r="5" spans="1:14" ht="13.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 t="s">
        <v>3</v>
      </c>
    </row>
    <row r="6" spans="1:14" ht="13.5" thickBot="1">
      <c r="A6" s="513"/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225">
        <f>M7</f>
        <v>26012</v>
      </c>
    </row>
    <row r="7" spans="1:14" ht="12.75">
      <c r="A7" s="29" t="s">
        <v>95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255">
        <f>33988-7976</f>
        <v>26012</v>
      </c>
      <c r="N7" s="20"/>
    </row>
    <row r="8" spans="1:14" ht="13.5" thickBot="1">
      <c r="A8" s="565"/>
      <c r="B8" s="563"/>
      <c r="C8" s="563"/>
      <c r="D8" s="563"/>
      <c r="E8" s="563"/>
      <c r="F8" s="563"/>
      <c r="G8" s="563"/>
      <c r="H8" s="11"/>
      <c r="I8" s="11"/>
      <c r="J8" s="11"/>
      <c r="K8" s="11"/>
      <c r="L8" s="11"/>
      <c r="M8" s="138"/>
      <c r="N8" s="139"/>
    </row>
    <row r="9" spans="1:14" ht="12.75">
      <c r="A9" s="33"/>
      <c r="B9" s="33"/>
      <c r="C9" s="33"/>
      <c r="D9" s="33"/>
      <c r="E9" s="33"/>
      <c r="F9" s="33"/>
      <c r="G9" s="33"/>
      <c r="H9" s="2"/>
      <c r="I9" s="2"/>
      <c r="J9" s="2"/>
      <c r="K9" s="2"/>
      <c r="L9" s="2"/>
      <c r="M9" s="2"/>
      <c r="N9" s="2"/>
    </row>
    <row r="10" spans="1:14" ht="12.75">
      <c r="A10" s="33"/>
      <c r="B10" s="33"/>
      <c r="C10" s="33"/>
      <c r="D10" s="33"/>
      <c r="E10" s="33"/>
      <c r="F10" s="33"/>
      <c r="G10" s="33"/>
      <c r="H10" s="2"/>
      <c r="I10" s="2"/>
      <c r="J10" s="2"/>
      <c r="K10" s="2"/>
      <c r="L10" s="2"/>
      <c r="M10" s="2"/>
      <c r="N10" s="2"/>
    </row>
    <row r="11" spans="1:14" ht="12.75">
      <c r="A11" s="33"/>
      <c r="B11" s="33"/>
      <c r="C11" s="33"/>
      <c r="D11" s="33"/>
      <c r="E11" s="33"/>
      <c r="F11" s="33"/>
      <c r="G11" s="33"/>
      <c r="H11" s="2"/>
      <c r="I11" s="2"/>
      <c r="J11" s="2"/>
      <c r="K11" s="2"/>
      <c r="L11" s="2"/>
      <c r="M11" s="2"/>
      <c r="N11" s="2"/>
    </row>
    <row r="12" spans="1:14" ht="12.75">
      <c r="A12" s="33"/>
      <c r="B12" s="33"/>
      <c r="C12" s="33"/>
      <c r="D12" s="33"/>
      <c r="E12" s="33"/>
      <c r="F12" s="33"/>
      <c r="G12" s="33"/>
      <c r="H12" s="2"/>
      <c r="I12" s="2"/>
      <c r="J12" s="2"/>
      <c r="K12" s="2"/>
      <c r="L12" s="2"/>
      <c r="M12" s="2"/>
      <c r="N12" s="2"/>
    </row>
    <row r="13" spans="1:14" ht="12.75">
      <c r="A13" s="33"/>
      <c r="B13" s="33"/>
      <c r="C13" s="33"/>
      <c r="D13" s="33"/>
      <c r="E13" s="33"/>
      <c r="F13" s="33"/>
      <c r="G13" s="33"/>
      <c r="H13" s="2"/>
      <c r="I13" s="2"/>
      <c r="J13" s="2"/>
      <c r="K13" s="2"/>
      <c r="L13" s="2"/>
      <c r="M13" s="2"/>
      <c r="N13" s="2"/>
    </row>
    <row r="14" spans="1:14" ht="12.75">
      <c r="A14" s="544" t="s">
        <v>42</v>
      </c>
      <c r="B14" s="544"/>
      <c r="C14" s="84" t="s">
        <v>43</v>
      </c>
      <c r="D14" s="545"/>
      <c r="E14" s="545"/>
      <c r="F14" s="545"/>
      <c r="G14" s="545"/>
      <c r="H14" s="5"/>
      <c r="I14" s="5"/>
      <c r="J14" s="6" t="s">
        <v>12</v>
      </c>
      <c r="K14" s="6"/>
      <c r="L14" s="6"/>
      <c r="M14" s="6"/>
      <c r="N14" s="6"/>
    </row>
    <row r="15" spans="1:14" ht="12.75">
      <c r="A15" s="7"/>
      <c r="B15" s="7"/>
      <c r="C15" s="7"/>
      <c r="D15" s="5"/>
      <c r="E15" s="5"/>
      <c r="F15" s="5"/>
      <c r="G15" s="5"/>
      <c r="H15" s="5"/>
      <c r="I15" s="5"/>
      <c r="J15" s="5" t="s">
        <v>5</v>
      </c>
      <c r="K15" s="6"/>
      <c r="L15" s="6"/>
      <c r="M15" s="6"/>
      <c r="N15" s="6"/>
    </row>
    <row r="16" spans="1:14" ht="12.75">
      <c r="A16" s="7"/>
      <c r="B16" s="7"/>
      <c r="C16" s="7"/>
      <c r="D16" s="7"/>
      <c r="E16" s="7"/>
      <c r="F16" s="7"/>
      <c r="G16" s="7"/>
      <c r="H16" s="7"/>
      <c r="I16" s="5"/>
      <c r="J16" s="5"/>
      <c r="K16" s="6"/>
      <c r="L16" s="6"/>
      <c r="M16" s="6"/>
      <c r="N16" s="6"/>
    </row>
    <row r="17" spans="1:14" ht="12.75">
      <c r="A17" s="544" t="s">
        <v>44</v>
      </c>
      <c r="B17" s="544"/>
      <c r="C17" s="84" t="s">
        <v>43</v>
      </c>
      <c r="D17" s="545"/>
      <c r="E17" s="545"/>
      <c r="F17" s="545"/>
      <c r="G17" s="545"/>
      <c r="H17" s="5"/>
      <c r="I17" s="5"/>
      <c r="J17" s="5" t="s">
        <v>289</v>
      </c>
      <c r="K17" s="6"/>
      <c r="L17" s="6"/>
      <c r="M17" s="6"/>
      <c r="N17" s="6"/>
    </row>
    <row r="18" spans="1:14" ht="12.75">
      <c r="A18" s="6"/>
      <c r="B18" s="6"/>
      <c r="C18" s="6"/>
      <c r="D18" s="5"/>
      <c r="E18" s="5"/>
      <c r="F18" s="6"/>
      <c r="G18" s="6"/>
      <c r="H18" s="6"/>
      <c r="I18" s="5"/>
      <c r="J18" s="5" t="s">
        <v>5</v>
      </c>
      <c r="K18" s="6"/>
      <c r="L18" s="6"/>
      <c r="M18" s="6"/>
      <c r="N18" s="6"/>
    </row>
    <row r="19" spans="1:14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</sheetData>
  <sheetProtection/>
  <mergeCells count="11">
    <mergeCell ref="A8:D8"/>
    <mergeCell ref="E8:G8"/>
    <mergeCell ref="A14:B14"/>
    <mergeCell ref="D14:G14"/>
    <mergeCell ref="A17:B17"/>
    <mergeCell ref="D17:G17"/>
    <mergeCell ref="A1:N1"/>
    <mergeCell ref="A2:N2"/>
    <mergeCell ref="A3:N3"/>
    <mergeCell ref="A4:N4"/>
    <mergeCell ref="A6:M6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view="pageBreakPreview" zoomScaleSheetLayoutView="100" zoomScalePageLayoutView="0" workbookViewId="0" topLeftCell="A1">
      <selection activeCell="N33" sqref="N33"/>
    </sheetView>
  </sheetViews>
  <sheetFormatPr defaultColWidth="9.00390625" defaultRowHeight="12.75"/>
  <cols>
    <col min="1" max="1" width="1.25" style="0" customWidth="1"/>
    <col min="2" max="2" width="7.00390625" style="0" customWidth="1"/>
    <col min="3" max="3" width="20.125" style="0" customWidth="1"/>
    <col min="4" max="4" width="9.75390625" style="0" customWidth="1"/>
    <col min="5" max="5" width="6.625" style="0" customWidth="1"/>
    <col min="6" max="6" width="2.00390625" style="0" customWidth="1"/>
    <col min="8" max="8" width="5.25390625" style="0" customWidth="1"/>
    <col min="9" max="9" width="4.25390625" style="0" hidden="1" customWidth="1"/>
    <col min="10" max="10" width="9.125" style="0" hidden="1" customWidth="1"/>
    <col min="11" max="11" width="11.625" style="0" customWidth="1"/>
    <col min="14" max="14" width="2.00390625" style="0" customWidth="1"/>
    <col min="15" max="15" width="13.125" style="0" customWidth="1"/>
  </cols>
  <sheetData>
    <row r="1" spans="2:15" ht="30" customHeight="1">
      <c r="B1" s="510" t="s">
        <v>324</v>
      </c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</row>
    <row r="2" spans="1:15" ht="12.75">
      <c r="A2" s="1"/>
      <c r="B2" s="500" t="s">
        <v>10</v>
      </c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</row>
    <row r="3" spans="1:15" ht="12.75">
      <c r="A3" s="1"/>
      <c r="B3" s="501" t="s">
        <v>11</v>
      </c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</row>
    <row r="4" spans="1:15" ht="12.75">
      <c r="A4" s="1"/>
      <c r="B4" s="501" t="s">
        <v>96</v>
      </c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</row>
    <row r="5" spans="1:15" ht="13.5" thickBot="1">
      <c r="A5" s="1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 t="s">
        <v>3</v>
      </c>
    </row>
    <row r="6" spans="1:15" ht="13.5" thickBot="1">
      <c r="A6" s="1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225">
        <f>ROUND(L17,2)</f>
        <v>3094100</v>
      </c>
    </row>
    <row r="7" spans="1:15" ht="12.75">
      <c r="A7" s="1"/>
      <c r="B7" s="569"/>
      <c r="C7" s="570"/>
      <c r="D7" s="570"/>
      <c r="E7" s="571" t="s">
        <v>50</v>
      </c>
      <c r="F7" s="572"/>
      <c r="G7" s="576" t="s">
        <v>51</v>
      </c>
      <c r="H7" s="576"/>
      <c r="I7" s="576"/>
      <c r="J7" s="576"/>
      <c r="K7" s="140" t="s">
        <v>52</v>
      </c>
      <c r="L7" s="571" t="s">
        <v>53</v>
      </c>
      <c r="M7" s="570"/>
      <c r="N7" s="572"/>
      <c r="O7" s="20"/>
    </row>
    <row r="8" spans="1:15" ht="12.75">
      <c r="A8" s="1"/>
      <c r="B8" s="566" t="s">
        <v>97</v>
      </c>
      <c r="C8" s="567"/>
      <c r="D8" s="568"/>
      <c r="E8" s="577">
        <v>140</v>
      </c>
      <c r="F8" s="578"/>
      <c r="G8" s="579">
        <v>11.66</v>
      </c>
      <c r="H8" s="579"/>
      <c r="I8" s="579"/>
      <c r="J8" s="579"/>
      <c r="K8" s="142">
        <v>246</v>
      </c>
      <c r="L8" s="573">
        <f>ROUND(E8*G8*K8,2)-439.6</f>
        <v>401130.80000000005</v>
      </c>
      <c r="M8" s="574"/>
      <c r="N8" s="575"/>
      <c r="O8" s="21"/>
    </row>
    <row r="9" spans="1:15" ht="12.75">
      <c r="A9" s="1"/>
      <c r="B9" s="566" t="s">
        <v>98</v>
      </c>
      <c r="C9" s="567"/>
      <c r="D9" s="568"/>
      <c r="E9" s="577">
        <v>694</v>
      </c>
      <c r="F9" s="578"/>
      <c r="G9" s="580">
        <v>11.66</v>
      </c>
      <c r="H9" s="581"/>
      <c r="I9" s="141"/>
      <c r="J9" s="141"/>
      <c r="K9" s="142">
        <v>246</v>
      </c>
      <c r="L9" s="573">
        <f>ROUND(E9*G9*K9,2)</f>
        <v>1990641.84</v>
      </c>
      <c r="M9" s="574"/>
      <c r="N9" s="575"/>
      <c r="O9" s="21"/>
    </row>
    <row r="10" spans="1:15" ht="12.75">
      <c r="A10" s="1"/>
      <c r="B10" s="566" t="s">
        <v>98</v>
      </c>
      <c r="C10" s="567"/>
      <c r="D10" s="568"/>
      <c r="E10" s="577">
        <v>1</v>
      </c>
      <c r="F10" s="578"/>
      <c r="G10" s="580">
        <v>11.66</v>
      </c>
      <c r="H10" s="581"/>
      <c r="I10" s="141"/>
      <c r="J10" s="141"/>
      <c r="K10" s="142">
        <v>211</v>
      </c>
      <c r="L10" s="573">
        <f>ROUND(E10*G10*K10,2)-2.9</f>
        <v>2457.36</v>
      </c>
      <c r="M10" s="574"/>
      <c r="N10" s="575"/>
      <c r="O10" s="21"/>
    </row>
    <row r="11" spans="1:15" ht="12.75">
      <c r="A11" s="1"/>
      <c r="B11" s="566" t="s">
        <v>99</v>
      </c>
      <c r="C11" s="567"/>
      <c r="D11" s="568"/>
      <c r="E11" s="582">
        <v>4</v>
      </c>
      <c r="F11" s="583"/>
      <c r="G11" s="579">
        <v>35</v>
      </c>
      <c r="H11" s="579"/>
      <c r="I11" s="579"/>
      <c r="J11" s="579"/>
      <c r="K11" s="142">
        <v>246</v>
      </c>
      <c r="L11" s="573">
        <f aca="true" t="shared" si="0" ref="L11:L16">E11*G11*K11</f>
        <v>34440</v>
      </c>
      <c r="M11" s="574"/>
      <c r="N11" s="575"/>
      <c r="O11" s="21"/>
    </row>
    <row r="12" spans="1:15" ht="12.75">
      <c r="A12" s="1"/>
      <c r="B12" s="566" t="s">
        <v>100</v>
      </c>
      <c r="C12" s="567"/>
      <c r="D12" s="568"/>
      <c r="E12" s="582">
        <v>8</v>
      </c>
      <c r="F12" s="583"/>
      <c r="G12" s="580">
        <v>37.5</v>
      </c>
      <c r="H12" s="581"/>
      <c r="I12" s="141"/>
      <c r="J12" s="141"/>
      <c r="K12" s="142">
        <v>246</v>
      </c>
      <c r="L12" s="573">
        <f t="shared" si="0"/>
        <v>73800</v>
      </c>
      <c r="M12" s="574"/>
      <c r="N12" s="575"/>
      <c r="O12" s="21"/>
    </row>
    <row r="13" spans="1:15" ht="12.75">
      <c r="A13" s="1"/>
      <c r="B13" s="566" t="s">
        <v>101</v>
      </c>
      <c r="C13" s="567"/>
      <c r="D13" s="568"/>
      <c r="E13" s="582">
        <v>2</v>
      </c>
      <c r="F13" s="583"/>
      <c r="G13" s="584">
        <v>70</v>
      </c>
      <c r="H13" s="584"/>
      <c r="I13" s="584"/>
      <c r="J13" s="584"/>
      <c r="K13" s="142">
        <v>246</v>
      </c>
      <c r="L13" s="573">
        <f t="shared" si="0"/>
        <v>34440</v>
      </c>
      <c r="M13" s="574"/>
      <c r="N13" s="575"/>
      <c r="O13" s="21"/>
    </row>
    <row r="14" spans="1:15" ht="12.75">
      <c r="A14" s="1"/>
      <c r="B14" s="566" t="s">
        <v>102</v>
      </c>
      <c r="C14" s="567"/>
      <c r="D14" s="568"/>
      <c r="E14" s="582">
        <v>8</v>
      </c>
      <c r="F14" s="583"/>
      <c r="G14" s="585">
        <v>75</v>
      </c>
      <c r="H14" s="586"/>
      <c r="I14" s="143"/>
      <c r="J14" s="143"/>
      <c r="K14" s="142">
        <v>246</v>
      </c>
      <c r="L14" s="573">
        <f t="shared" si="0"/>
        <v>147600</v>
      </c>
      <c r="M14" s="574"/>
      <c r="N14" s="575"/>
      <c r="O14" s="21"/>
    </row>
    <row r="15" spans="1:15" ht="12.75">
      <c r="A15" s="1"/>
      <c r="B15" s="566" t="s">
        <v>103</v>
      </c>
      <c r="C15" s="567"/>
      <c r="D15" s="568"/>
      <c r="E15" s="582">
        <v>9</v>
      </c>
      <c r="F15" s="583"/>
      <c r="G15" s="585">
        <v>35</v>
      </c>
      <c r="H15" s="586"/>
      <c r="I15" s="143"/>
      <c r="J15" s="143"/>
      <c r="K15" s="142">
        <v>246</v>
      </c>
      <c r="L15" s="573">
        <f t="shared" si="0"/>
        <v>77490</v>
      </c>
      <c r="M15" s="574"/>
      <c r="N15" s="575"/>
      <c r="O15" s="21"/>
    </row>
    <row r="16" spans="1:15" ht="13.5" thickBot="1">
      <c r="A16" s="1"/>
      <c r="B16" s="566" t="s">
        <v>104</v>
      </c>
      <c r="C16" s="567"/>
      <c r="D16" s="568"/>
      <c r="E16" s="577">
        <v>36</v>
      </c>
      <c r="F16" s="578"/>
      <c r="G16" s="579">
        <v>37.5</v>
      </c>
      <c r="H16" s="579"/>
      <c r="I16" s="579"/>
      <c r="J16" s="579"/>
      <c r="K16" s="144">
        <v>246</v>
      </c>
      <c r="L16" s="587">
        <f t="shared" si="0"/>
        <v>332100</v>
      </c>
      <c r="M16" s="588"/>
      <c r="N16" s="589"/>
      <c r="O16" s="21"/>
    </row>
    <row r="17" spans="1:15" ht="13.5" thickBot="1">
      <c r="A17" s="1"/>
      <c r="B17" s="565"/>
      <c r="C17" s="563"/>
      <c r="D17" s="563"/>
      <c r="E17" s="563"/>
      <c r="F17" s="563"/>
      <c r="G17" s="563"/>
      <c r="H17" s="563"/>
      <c r="I17" s="563"/>
      <c r="J17" s="563"/>
      <c r="K17" s="563"/>
      <c r="L17" s="590">
        <f>ROUND(SUM(L8:N16),2)</f>
        <v>3094100</v>
      </c>
      <c r="M17" s="591"/>
      <c r="N17" s="592"/>
      <c r="O17" s="22"/>
    </row>
    <row r="18" spans="1:1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6"/>
      <c r="B19" s="544" t="s">
        <v>54</v>
      </c>
      <c r="C19" s="544"/>
      <c r="D19" s="5" t="s">
        <v>43</v>
      </c>
      <c r="E19" s="544" t="s">
        <v>12</v>
      </c>
      <c r="F19" s="544"/>
      <c r="G19" s="544"/>
      <c r="H19" s="544"/>
      <c r="I19" s="5"/>
      <c r="J19" s="5"/>
      <c r="K19" s="6"/>
      <c r="L19" s="6"/>
      <c r="M19" s="6"/>
      <c r="N19" s="6"/>
      <c r="O19" s="6"/>
    </row>
    <row r="20" spans="1:15" ht="12.75">
      <c r="A20" s="6"/>
      <c r="B20" s="7"/>
      <c r="C20" s="7"/>
      <c r="D20" s="7"/>
      <c r="E20" s="5" t="s">
        <v>5</v>
      </c>
      <c r="F20" s="5"/>
      <c r="G20" s="7"/>
      <c r="H20" s="7"/>
      <c r="I20" s="7"/>
      <c r="J20" s="7"/>
      <c r="K20" s="6"/>
      <c r="L20" s="6"/>
      <c r="M20" s="6"/>
      <c r="N20" s="6"/>
      <c r="O20" s="6"/>
    </row>
    <row r="21" spans="1:15" ht="12.75">
      <c r="A21" s="6"/>
      <c r="B21" s="7"/>
      <c r="C21" s="7"/>
      <c r="D21" s="7"/>
      <c r="E21" s="7"/>
      <c r="F21" s="7"/>
      <c r="G21" s="7"/>
      <c r="H21" s="7"/>
      <c r="I21" s="7"/>
      <c r="J21" s="7"/>
      <c r="K21" s="6"/>
      <c r="L21" s="6"/>
      <c r="M21" s="6"/>
      <c r="N21" s="6"/>
      <c r="O21" s="6"/>
    </row>
    <row r="22" spans="1:15" ht="12.75">
      <c r="A22" s="6"/>
      <c r="B22" s="544" t="s">
        <v>44</v>
      </c>
      <c r="C22" s="544"/>
      <c r="D22" s="5" t="s">
        <v>43</v>
      </c>
      <c r="E22" s="544" t="s">
        <v>289</v>
      </c>
      <c r="F22" s="544"/>
      <c r="G22" s="544"/>
      <c r="H22" s="544"/>
      <c r="I22" s="5"/>
      <c r="J22" s="5"/>
      <c r="K22" s="6"/>
      <c r="L22" s="6"/>
      <c r="M22" s="6"/>
      <c r="N22" s="6"/>
      <c r="O22" s="6"/>
    </row>
    <row r="23" spans="1:15" ht="12.75">
      <c r="A23" s="6"/>
      <c r="B23" s="6"/>
      <c r="C23" s="6"/>
      <c r="D23" s="6"/>
      <c r="E23" s="5" t="s">
        <v>5</v>
      </c>
      <c r="F23" s="5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</sheetData>
  <sheetProtection/>
  <mergeCells count="50">
    <mergeCell ref="B22:C22"/>
    <mergeCell ref="E22:H22"/>
    <mergeCell ref="B16:D16"/>
    <mergeCell ref="E16:F16"/>
    <mergeCell ref="G16:J16"/>
    <mergeCell ref="B17:K17"/>
    <mergeCell ref="L17:N17"/>
    <mergeCell ref="B15:D15"/>
    <mergeCell ref="E15:F15"/>
    <mergeCell ref="G15:H15"/>
    <mergeCell ref="B19:C19"/>
    <mergeCell ref="E19:H19"/>
    <mergeCell ref="L15:N15"/>
    <mergeCell ref="B14:D14"/>
    <mergeCell ref="E14:F14"/>
    <mergeCell ref="G14:H14"/>
    <mergeCell ref="L14:N14"/>
    <mergeCell ref="L16:N16"/>
    <mergeCell ref="B12:D12"/>
    <mergeCell ref="E12:F12"/>
    <mergeCell ref="G12:H12"/>
    <mergeCell ref="L12:N12"/>
    <mergeCell ref="B13:D13"/>
    <mergeCell ref="E13:F13"/>
    <mergeCell ref="G13:J13"/>
    <mergeCell ref="L13:N13"/>
    <mergeCell ref="B9:D9"/>
    <mergeCell ref="E9:F9"/>
    <mergeCell ref="G9:H9"/>
    <mergeCell ref="L9:N9"/>
    <mergeCell ref="B11:D11"/>
    <mergeCell ref="E11:F11"/>
    <mergeCell ref="G11:J11"/>
    <mergeCell ref="L11:N11"/>
    <mergeCell ref="G7:J7"/>
    <mergeCell ref="L7:N7"/>
    <mergeCell ref="B8:D8"/>
    <mergeCell ref="E8:F8"/>
    <mergeCell ref="G8:J8"/>
    <mergeCell ref="L8:N8"/>
    <mergeCell ref="E10:F10"/>
    <mergeCell ref="G10:H10"/>
    <mergeCell ref="L10:N10"/>
    <mergeCell ref="B10:D10"/>
    <mergeCell ref="B1:O1"/>
    <mergeCell ref="B2:O2"/>
    <mergeCell ref="B3:O3"/>
    <mergeCell ref="B4:O4"/>
    <mergeCell ref="B7:D7"/>
    <mergeCell ref="E7:F7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7"/>
  <sheetViews>
    <sheetView view="pageBreakPreview" zoomScaleSheetLayoutView="100" zoomScalePageLayoutView="0" workbookViewId="0" topLeftCell="A1">
      <selection activeCell="S28" sqref="S28"/>
    </sheetView>
  </sheetViews>
  <sheetFormatPr defaultColWidth="9.00390625" defaultRowHeight="12.75"/>
  <cols>
    <col min="1" max="1" width="1.25" style="0" customWidth="1"/>
    <col min="2" max="2" width="7.00390625" style="0" customWidth="1"/>
    <col min="3" max="3" width="19.25390625" style="0" customWidth="1"/>
    <col min="4" max="4" width="9.75390625" style="0" customWidth="1"/>
    <col min="5" max="5" width="6.625" style="0" customWidth="1"/>
    <col min="6" max="6" width="2.00390625" style="0" customWidth="1"/>
    <col min="8" max="8" width="5.25390625" style="0" customWidth="1"/>
    <col min="9" max="9" width="4.25390625" style="0" hidden="1" customWidth="1"/>
    <col min="10" max="10" width="9.125" style="0" hidden="1" customWidth="1"/>
    <col min="11" max="11" width="11.625" style="0" customWidth="1"/>
    <col min="12" max="12" width="9.75390625" style="0" customWidth="1"/>
    <col min="13" max="13" width="3.375" style="0" customWidth="1"/>
    <col min="14" max="14" width="6.875" style="0" customWidth="1"/>
    <col min="15" max="15" width="13.125" style="0" customWidth="1"/>
  </cols>
  <sheetData>
    <row r="1" spans="2:15" ht="30" customHeight="1">
      <c r="B1" s="510" t="s">
        <v>324</v>
      </c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</row>
    <row r="2" spans="1:15" ht="12.75">
      <c r="A2" s="1"/>
      <c r="B2" s="145"/>
      <c r="C2" s="145"/>
      <c r="D2" s="145"/>
      <c r="E2" s="145"/>
      <c r="F2" s="145"/>
      <c r="G2" s="145"/>
      <c r="H2" s="145"/>
      <c r="I2" s="145"/>
      <c r="J2" s="145"/>
      <c r="K2" s="146"/>
      <c r="L2" s="146"/>
      <c r="M2" s="146"/>
      <c r="N2" s="146"/>
      <c r="O2" s="2"/>
    </row>
    <row r="3" spans="1:15" ht="12.75">
      <c r="A3" s="1"/>
      <c r="B3" s="593" t="s">
        <v>45</v>
      </c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</row>
    <row r="4" spans="1:15" ht="12.75">
      <c r="A4" s="6"/>
      <c r="B4" s="564" t="s">
        <v>56</v>
      </c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564"/>
    </row>
    <row r="5" spans="1:15" ht="12.75">
      <c r="A5" s="6"/>
      <c r="B5" s="501" t="s">
        <v>105</v>
      </c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</row>
    <row r="6" spans="1:15" ht="13.5" thickBot="1">
      <c r="A6" s="6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 t="s">
        <v>3</v>
      </c>
    </row>
    <row r="7" spans="1:15" ht="13.5" thickBot="1">
      <c r="A7" s="1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228">
        <f>M8+197510</f>
        <v>708086</v>
      </c>
    </row>
    <row r="8" spans="1:15" ht="12.75">
      <c r="A8" s="1"/>
      <c r="B8" s="594" t="s">
        <v>336</v>
      </c>
      <c r="C8" s="595"/>
      <c r="D8" s="595"/>
      <c r="E8" s="595"/>
      <c r="F8" s="595"/>
      <c r="G8" s="595"/>
      <c r="H8" s="595"/>
      <c r="I8" s="595"/>
      <c r="J8" s="595"/>
      <c r="K8" s="595"/>
      <c r="L8" s="595"/>
      <c r="M8" s="597">
        <v>510576</v>
      </c>
      <c r="N8" s="598"/>
      <c r="O8" s="44">
        <f>N8</f>
        <v>0</v>
      </c>
    </row>
    <row r="9" spans="1:15" ht="12.75">
      <c r="A9" s="1"/>
      <c r="B9" s="596" t="s">
        <v>292</v>
      </c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5"/>
      <c r="N9" s="505"/>
      <c r="O9" s="148"/>
    </row>
    <row r="10" spans="1:15" ht="13.5" thickBot="1">
      <c r="A10" s="1"/>
      <c r="B10" s="599"/>
      <c r="C10" s="600"/>
      <c r="D10" s="600"/>
      <c r="E10" s="600"/>
      <c r="F10" s="600"/>
      <c r="G10" s="600"/>
      <c r="H10" s="600"/>
      <c r="I10" s="600"/>
      <c r="J10" s="600"/>
      <c r="K10" s="149"/>
      <c r="L10" s="149"/>
      <c r="M10" s="149"/>
      <c r="N10" s="150"/>
      <c r="O10" s="72"/>
    </row>
    <row r="11" spans="1:15" ht="12.75">
      <c r="A11" s="1"/>
      <c r="B11" s="593" t="s">
        <v>32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</row>
    <row r="12" spans="1:15" ht="12.75">
      <c r="A12" s="6"/>
      <c r="B12" s="501" t="s">
        <v>49</v>
      </c>
      <c r="C12" s="501"/>
      <c r="D12" s="501"/>
      <c r="E12" s="501"/>
      <c r="F12" s="501"/>
      <c r="G12" s="501"/>
      <c r="H12" s="501"/>
      <c r="I12" s="501"/>
      <c r="J12" s="501"/>
      <c r="K12" s="501"/>
      <c r="L12" s="501"/>
      <c r="M12" s="501"/>
      <c r="N12" s="501"/>
      <c r="O12" s="501"/>
    </row>
    <row r="13" spans="1:15" ht="12.75">
      <c r="A13" s="6"/>
      <c r="B13" s="501" t="s">
        <v>105</v>
      </c>
      <c r="C13" s="501"/>
      <c r="D13" s="501"/>
      <c r="E13" s="501"/>
      <c r="F13" s="501"/>
      <c r="G13" s="501"/>
      <c r="H13" s="501"/>
      <c r="I13" s="501"/>
      <c r="J13" s="501"/>
      <c r="K13" s="501"/>
      <c r="L13" s="501"/>
      <c r="M13" s="501"/>
      <c r="N13" s="501"/>
      <c r="O13" s="501"/>
    </row>
    <row r="14" spans="1:15" ht="13.5" thickBot="1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 t="s">
        <v>3</v>
      </c>
    </row>
    <row r="15" spans="1:15" ht="13.5" thickBot="1">
      <c r="A15" s="6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28">
        <f>M16</f>
        <v>33310</v>
      </c>
    </row>
    <row r="16" spans="1:15" ht="12.75">
      <c r="A16" s="6"/>
      <c r="B16" s="603" t="s">
        <v>345</v>
      </c>
      <c r="C16" s="604"/>
      <c r="D16" s="604"/>
      <c r="E16" s="604"/>
      <c r="F16" s="604"/>
      <c r="G16" s="604"/>
      <c r="H16" s="604"/>
      <c r="I16" s="604"/>
      <c r="J16" s="604"/>
      <c r="K16" s="604"/>
      <c r="L16" s="151"/>
      <c r="M16" s="601">
        <v>33310</v>
      </c>
      <c r="N16" s="602"/>
      <c r="O16" s="152">
        <f>N16</f>
        <v>0</v>
      </c>
    </row>
    <row r="17" spans="1:15" ht="12.75" hidden="1">
      <c r="A17" s="6"/>
      <c r="B17" s="605"/>
      <c r="C17" s="606"/>
      <c r="D17" s="606"/>
      <c r="E17" s="606"/>
      <c r="F17" s="606"/>
      <c r="G17" s="606"/>
      <c r="H17" s="606"/>
      <c r="I17" s="606"/>
      <c r="J17" s="606"/>
      <c r="K17" s="606"/>
      <c r="L17" s="607"/>
      <c r="M17" s="607"/>
      <c r="N17" s="607"/>
      <c r="O17" s="148"/>
    </row>
    <row r="18" spans="2:15" ht="13.5" thickBot="1">
      <c r="B18" s="608"/>
      <c r="C18" s="609"/>
      <c r="D18" s="609"/>
      <c r="E18" s="609"/>
      <c r="F18" s="609"/>
      <c r="G18" s="609"/>
      <c r="H18" s="609"/>
      <c r="I18" s="609"/>
      <c r="J18" s="609"/>
      <c r="K18" s="609"/>
      <c r="L18" s="610"/>
      <c r="M18" s="611"/>
      <c r="N18" s="611"/>
      <c r="O18" s="154"/>
    </row>
    <row r="19" spans="2:15" ht="12.75">
      <c r="B19" s="544" t="s">
        <v>42</v>
      </c>
      <c r="C19" s="544"/>
      <c r="D19" s="28" t="s">
        <v>43</v>
      </c>
      <c r="E19" s="545"/>
      <c r="F19" s="545"/>
      <c r="G19" s="545"/>
      <c r="H19" s="545"/>
      <c r="I19" s="544" t="s">
        <v>12</v>
      </c>
      <c r="J19" s="544"/>
      <c r="K19" s="544"/>
      <c r="L19" s="544"/>
      <c r="M19" s="6"/>
      <c r="N19" s="6"/>
      <c r="O19" s="6"/>
    </row>
    <row r="20" spans="2:15" ht="12.75">
      <c r="B20" s="7"/>
      <c r="C20" s="7"/>
      <c r="D20" s="7"/>
      <c r="E20" s="5"/>
      <c r="F20" s="5"/>
      <c r="G20" s="5"/>
      <c r="H20" s="5"/>
      <c r="I20" s="5" t="s">
        <v>5</v>
      </c>
      <c r="J20" s="5" t="s">
        <v>5</v>
      </c>
      <c r="K20" s="5" t="s">
        <v>5</v>
      </c>
      <c r="L20" s="7"/>
      <c r="M20" s="6"/>
      <c r="N20" s="6"/>
      <c r="O20" s="6"/>
    </row>
    <row r="21" spans="2:15" ht="12.75">
      <c r="B21" s="7"/>
      <c r="C21" s="7"/>
      <c r="D21" s="7"/>
      <c r="E21" s="7"/>
      <c r="F21" s="7"/>
      <c r="G21" s="7"/>
      <c r="H21" s="7"/>
      <c r="I21" s="7"/>
      <c r="J21" s="7"/>
      <c r="K21" s="6"/>
      <c r="L21" s="6"/>
      <c r="M21" s="6"/>
      <c r="N21" s="6"/>
      <c r="O21" s="6"/>
    </row>
    <row r="22" spans="2:15" ht="12.75">
      <c r="B22" s="544" t="s">
        <v>55</v>
      </c>
      <c r="C22" s="544"/>
      <c r="D22" s="28" t="s">
        <v>43</v>
      </c>
      <c r="E22" s="545"/>
      <c r="F22" s="545"/>
      <c r="G22" s="545"/>
      <c r="H22" s="545"/>
      <c r="I22" s="544" t="s">
        <v>289</v>
      </c>
      <c r="J22" s="544"/>
      <c r="K22" s="544"/>
      <c r="L22" s="544"/>
      <c r="M22" s="6" t="s">
        <v>48</v>
      </c>
      <c r="N22" s="6"/>
      <c r="O22" s="6"/>
    </row>
    <row r="23" spans="2:15" ht="12.75">
      <c r="B23" s="6"/>
      <c r="C23" s="6"/>
      <c r="D23" s="6"/>
      <c r="E23" s="5"/>
      <c r="F23" s="5"/>
      <c r="G23" s="5"/>
      <c r="H23" s="5"/>
      <c r="I23" s="5" t="s">
        <v>5</v>
      </c>
      <c r="J23" s="5" t="s">
        <v>5</v>
      </c>
      <c r="K23" s="5" t="s">
        <v>5</v>
      </c>
      <c r="L23" s="6"/>
      <c r="M23" s="6"/>
      <c r="N23" s="6"/>
      <c r="O23" s="6"/>
    </row>
    <row r="24" spans="2:15" ht="12.7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2:15" ht="12.75"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</row>
    <row r="26" spans="2:15" ht="12.75"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</row>
    <row r="27" spans="2:15" ht="12.75"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</row>
  </sheetData>
  <sheetProtection/>
  <mergeCells count="23">
    <mergeCell ref="B22:C22"/>
    <mergeCell ref="E22:H22"/>
    <mergeCell ref="I22:L22"/>
    <mergeCell ref="B17:K17"/>
    <mergeCell ref="L17:N17"/>
    <mergeCell ref="B18:K18"/>
    <mergeCell ref="L18:N18"/>
    <mergeCell ref="B19:C19"/>
    <mergeCell ref="E19:H19"/>
    <mergeCell ref="I19:L19"/>
    <mergeCell ref="B10:J10"/>
    <mergeCell ref="B11:O11"/>
    <mergeCell ref="B12:O12"/>
    <mergeCell ref="M16:N16"/>
    <mergeCell ref="B13:O13"/>
    <mergeCell ref="B16:K16"/>
    <mergeCell ref="B1:O1"/>
    <mergeCell ref="B3:O3"/>
    <mergeCell ref="B4:O4"/>
    <mergeCell ref="B5:O5"/>
    <mergeCell ref="B8:L8"/>
    <mergeCell ref="B9:N9"/>
    <mergeCell ref="M8:N8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7"/>
  <sheetViews>
    <sheetView view="pageBreakPreview" zoomScaleSheetLayoutView="100" zoomScalePageLayoutView="0" workbookViewId="0" topLeftCell="A1">
      <selection activeCell="W26" sqref="W26"/>
    </sheetView>
  </sheetViews>
  <sheetFormatPr defaultColWidth="9.00390625" defaultRowHeight="12.75"/>
  <cols>
    <col min="1" max="1" width="1.12109375" style="1" customWidth="1"/>
    <col min="2" max="2" width="13.625" style="1" customWidth="1"/>
    <col min="3" max="3" width="12.625" style="1" customWidth="1"/>
    <col min="4" max="4" width="6.375" style="1" customWidth="1"/>
    <col min="5" max="5" width="1.625" style="1" customWidth="1"/>
    <col min="6" max="6" width="7.625" style="1" customWidth="1"/>
    <col min="7" max="7" width="2.25390625" style="1" customWidth="1"/>
    <col min="8" max="8" width="7.00390625" style="1" customWidth="1"/>
    <col min="9" max="9" width="5.875" style="1" customWidth="1"/>
    <col min="10" max="10" width="1.625" style="1" customWidth="1"/>
    <col min="11" max="11" width="0.875" style="1" customWidth="1"/>
    <col min="12" max="12" width="3.125" style="1" customWidth="1"/>
    <col min="13" max="13" width="9.75390625" style="1" customWidth="1"/>
    <col min="14" max="14" width="11.25390625" style="1" customWidth="1"/>
    <col min="15" max="15" width="16.00390625" style="1" customWidth="1"/>
  </cols>
  <sheetData>
    <row r="1" spans="2:15" ht="31.5" customHeight="1">
      <c r="B1" s="510" t="s">
        <v>325</v>
      </c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</row>
    <row r="2" spans="2:15" ht="12.75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2"/>
      <c r="N2" s="2"/>
      <c r="O2" s="2"/>
    </row>
    <row r="3" spans="2:15" ht="12.75">
      <c r="B3" s="500" t="s">
        <v>45</v>
      </c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</row>
    <row r="4" spans="2:15" ht="12.75">
      <c r="B4" s="501" t="s">
        <v>56</v>
      </c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</row>
    <row r="5" spans="2:15" ht="12.75">
      <c r="B5" s="501" t="s">
        <v>107</v>
      </c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</row>
    <row r="6" spans="2:15" ht="13.5" thickBo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 t="s">
        <v>3</v>
      </c>
    </row>
    <row r="7" spans="1:15" ht="14.25" thickBot="1">
      <c r="A7" s="155"/>
      <c r="B7" s="612"/>
      <c r="C7" s="612"/>
      <c r="D7" s="612"/>
      <c r="E7" s="612"/>
      <c r="F7" s="612"/>
      <c r="G7" s="612"/>
      <c r="H7" s="612"/>
      <c r="I7" s="612"/>
      <c r="J7" s="612"/>
      <c r="K7" s="612"/>
      <c r="L7" s="612"/>
      <c r="M7" s="612"/>
      <c r="N7" s="612"/>
      <c r="O7" s="264">
        <f>M11</f>
        <v>154400</v>
      </c>
    </row>
    <row r="8" spans="1:15" ht="12.75">
      <c r="A8" s="156"/>
      <c r="B8" s="603" t="s">
        <v>351</v>
      </c>
      <c r="C8" s="604"/>
      <c r="D8" s="604"/>
      <c r="E8" s="604"/>
      <c r="F8" s="604"/>
      <c r="G8" s="604"/>
      <c r="H8" s="604"/>
      <c r="I8" s="604"/>
      <c r="J8" s="604"/>
      <c r="K8" s="604"/>
      <c r="L8" s="30"/>
      <c r="M8" s="601">
        <v>96500</v>
      </c>
      <c r="N8" s="602"/>
      <c r="O8" s="263"/>
    </row>
    <row r="9" spans="1:15" ht="12.75">
      <c r="A9" s="155"/>
      <c r="B9" s="613" t="s">
        <v>106</v>
      </c>
      <c r="C9" s="614"/>
      <c r="D9" s="614"/>
      <c r="E9" s="614"/>
      <c r="F9" s="614"/>
      <c r="G9" s="614"/>
      <c r="H9" s="614"/>
      <c r="I9" s="614"/>
      <c r="J9" s="614"/>
      <c r="K9" s="614"/>
      <c r="L9" s="158"/>
      <c r="M9" s="615">
        <v>57900</v>
      </c>
      <c r="N9" s="616"/>
      <c r="O9" s="157"/>
    </row>
    <row r="10" spans="1:15" ht="12.75">
      <c r="A10" s="155"/>
      <c r="B10" s="617"/>
      <c r="C10" s="618"/>
      <c r="D10" s="618"/>
      <c r="E10" s="618"/>
      <c r="F10" s="618"/>
      <c r="G10" s="618"/>
      <c r="H10" s="618"/>
      <c r="I10" s="618"/>
      <c r="J10" s="618"/>
      <c r="K10" s="618"/>
      <c r="L10" s="158"/>
      <c r="M10" s="619"/>
      <c r="N10" s="620"/>
      <c r="O10" s="157"/>
    </row>
    <row r="11" spans="1:15" ht="13.5" thickBot="1">
      <c r="A11" s="155"/>
      <c r="B11" s="621" t="s">
        <v>57</v>
      </c>
      <c r="C11" s="622"/>
      <c r="D11" s="622"/>
      <c r="E11" s="622"/>
      <c r="F11" s="622"/>
      <c r="G11" s="622"/>
      <c r="H11" s="622"/>
      <c r="I11" s="622"/>
      <c r="J11" s="622"/>
      <c r="K11" s="622"/>
      <c r="L11" s="623"/>
      <c r="M11" s="624">
        <f>SUM(M8:N9)</f>
        <v>154400</v>
      </c>
      <c r="N11" s="625"/>
      <c r="O11" s="159"/>
    </row>
    <row r="12" spans="2:15" ht="12.75">
      <c r="B12" s="33"/>
      <c r="C12" s="33"/>
      <c r="D12" s="33"/>
      <c r="E12" s="33"/>
      <c r="F12" s="33"/>
      <c r="G12" s="33"/>
      <c r="H12" s="33"/>
      <c r="I12" s="2"/>
      <c r="J12" s="2"/>
      <c r="K12" s="2"/>
      <c r="L12" s="2"/>
      <c r="M12" s="2"/>
      <c r="N12" s="2"/>
      <c r="O12" s="2"/>
    </row>
    <row r="13" spans="2:15" ht="12.75">
      <c r="B13" s="500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</row>
    <row r="14" spans="2:15" ht="12.75">
      <c r="B14" s="501"/>
      <c r="C14" s="501"/>
      <c r="D14" s="501"/>
      <c r="E14" s="501"/>
      <c r="F14" s="501"/>
      <c r="G14" s="501"/>
      <c r="H14" s="501"/>
      <c r="I14" s="501"/>
      <c r="J14" s="501"/>
      <c r="K14" s="501"/>
      <c r="L14" s="501"/>
      <c r="M14" s="501"/>
      <c r="N14" s="501"/>
      <c r="O14" s="501"/>
    </row>
    <row r="15" spans="2:15" ht="12.75">
      <c r="B15" s="501"/>
      <c r="C15" s="501"/>
      <c r="D15" s="501"/>
      <c r="E15" s="501"/>
      <c r="F15" s="501"/>
      <c r="G15" s="501"/>
      <c r="H15" s="501"/>
      <c r="I15" s="501"/>
      <c r="J15" s="501"/>
      <c r="K15" s="501"/>
      <c r="L15" s="501"/>
      <c r="M15" s="501"/>
      <c r="N15" s="501"/>
      <c r="O15" s="501"/>
    </row>
    <row r="16" spans="2:15" ht="12.7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8" spans="1:15" ht="12.75">
      <c r="A18" s="6"/>
      <c r="B18" s="544" t="s">
        <v>42</v>
      </c>
      <c r="C18" s="544"/>
      <c r="D18" s="28" t="s">
        <v>43</v>
      </c>
      <c r="E18" s="545"/>
      <c r="F18" s="545"/>
      <c r="G18" s="545"/>
      <c r="H18" s="545"/>
      <c r="I18" s="28"/>
      <c r="J18" s="28"/>
      <c r="K18" s="160"/>
      <c r="L18" s="6"/>
      <c r="M18" s="6" t="s">
        <v>12</v>
      </c>
      <c r="N18" s="6"/>
      <c r="O18" s="6"/>
    </row>
    <row r="19" spans="1:15" ht="12.75">
      <c r="A19" s="6"/>
      <c r="B19" s="7"/>
      <c r="C19" s="7"/>
      <c r="D19" s="7"/>
      <c r="E19" s="5"/>
      <c r="F19" s="5"/>
      <c r="G19" s="7"/>
      <c r="H19" s="7"/>
      <c r="I19" s="5"/>
      <c r="J19" s="5"/>
      <c r="K19" s="7"/>
      <c r="L19" s="7"/>
      <c r="M19" s="5" t="s">
        <v>5</v>
      </c>
      <c r="N19" s="6"/>
      <c r="O19" s="6"/>
    </row>
    <row r="20" spans="1:15" ht="12.75">
      <c r="A20" s="6"/>
      <c r="B20" s="7"/>
      <c r="C20" s="7"/>
      <c r="D20" s="7"/>
      <c r="E20" s="7"/>
      <c r="F20" s="7"/>
      <c r="G20" s="7"/>
      <c r="H20" s="7"/>
      <c r="I20" s="7"/>
      <c r="J20" s="7"/>
      <c r="K20" s="6"/>
      <c r="L20" s="6"/>
      <c r="M20" s="6"/>
      <c r="N20" s="6"/>
      <c r="O20" s="6"/>
    </row>
    <row r="21" spans="1:15" ht="12.75">
      <c r="A21" s="6"/>
      <c r="B21" s="5" t="s">
        <v>58</v>
      </c>
      <c r="C21" s="5"/>
      <c r="D21" s="5"/>
      <c r="E21" s="5"/>
      <c r="F21" s="28"/>
      <c r="G21" s="28"/>
      <c r="H21" s="28"/>
      <c r="I21" s="28"/>
      <c r="J21" s="28"/>
      <c r="K21" s="160"/>
      <c r="L21" s="6"/>
      <c r="M21" s="6" t="s">
        <v>289</v>
      </c>
      <c r="N21" s="6"/>
      <c r="O21" s="6"/>
    </row>
    <row r="22" spans="1:15" ht="12.75">
      <c r="A22" s="6"/>
      <c r="B22" s="6"/>
      <c r="C22" s="6"/>
      <c r="D22" s="6"/>
      <c r="E22" s="5"/>
      <c r="F22" s="5"/>
      <c r="G22" s="6"/>
      <c r="H22" s="6"/>
      <c r="I22" s="6"/>
      <c r="J22" s="5"/>
      <c r="K22" s="5"/>
      <c r="L22" s="6"/>
      <c r="M22" s="5" t="s">
        <v>5</v>
      </c>
      <c r="N22" s="6"/>
      <c r="O22" s="5"/>
    </row>
    <row r="23" spans="1:15" ht="12.75">
      <c r="A23" s="6"/>
      <c r="B23" s="544"/>
      <c r="C23" s="544"/>
      <c r="D23" s="84"/>
      <c r="E23" s="626"/>
      <c r="F23" s="626"/>
      <c r="G23" s="626"/>
      <c r="H23" s="626"/>
      <c r="I23" s="84"/>
      <c r="J23" s="84"/>
      <c r="K23" s="84"/>
      <c r="L23" s="84"/>
      <c r="M23" s="6"/>
      <c r="N23" s="6"/>
      <c r="O23" s="6"/>
    </row>
    <row r="24" spans="2:12" ht="12.75">
      <c r="B24" s="7"/>
      <c r="C24" s="7"/>
      <c r="D24" s="161"/>
      <c r="E24" s="84"/>
      <c r="F24" s="84"/>
      <c r="G24" s="84"/>
      <c r="H24" s="84"/>
      <c r="I24" s="84"/>
      <c r="J24" s="84"/>
      <c r="K24" s="84"/>
      <c r="L24" s="161"/>
    </row>
    <row r="25" spans="2:12" ht="12.75">
      <c r="B25" s="7"/>
      <c r="C25" s="7"/>
      <c r="D25" s="161"/>
      <c r="E25" s="161"/>
      <c r="F25" s="161"/>
      <c r="G25" s="161"/>
      <c r="H25" s="161"/>
      <c r="I25" s="161"/>
      <c r="J25" s="161"/>
      <c r="K25" s="162"/>
      <c r="L25" s="162"/>
    </row>
    <row r="26" spans="2:12" ht="12.75">
      <c r="B26" s="544"/>
      <c r="C26" s="544"/>
      <c r="D26" s="84"/>
      <c r="E26" s="626"/>
      <c r="F26" s="626"/>
      <c r="G26" s="626"/>
      <c r="H26" s="626"/>
      <c r="I26" s="84"/>
      <c r="J26" s="84"/>
      <c r="K26" s="84"/>
      <c r="L26" s="84"/>
    </row>
    <row r="27" spans="2:12" ht="12.75">
      <c r="B27" s="6"/>
      <c r="C27" s="6"/>
      <c r="D27" s="162"/>
      <c r="E27" s="84"/>
      <c r="F27" s="84"/>
      <c r="G27" s="84"/>
      <c r="H27" s="84"/>
      <c r="I27" s="84"/>
      <c r="J27" s="84"/>
      <c r="K27" s="84"/>
      <c r="L27" s="162"/>
    </row>
  </sheetData>
  <sheetProtection/>
  <mergeCells count="22">
    <mergeCell ref="B26:C26"/>
    <mergeCell ref="E26:H26"/>
    <mergeCell ref="B13:O13"/>
    <mergeCell ref="B14:O14"/>
    <mergeCell ref="B15:O15"/>
    <mergeCell ref="B18:C18"/>
    <mergeCell ref="E18:H18"/>
    <mergeCell ref="B23:C23"/>
    <mergeCell ref="E23:H23"/>
    <mergeCell ref="B9:K9"/>
    <mergeCell ref="M9:N9"/>
    <mergeCell ref="B10:K10"/>
    <mergeCell ref="M10:N10"/>
    <mergeCell ref="B11:L11"/>
    <mergeCell ref="M11:N11"/>
    <mergeCell ref="B1:O1"/>
    <mergeCell ref="B3:O3"/>
    <mergeCell ref="B4:O4"/>
    <mergeCell ref="B5:O5"/>
    <mergeCell ref="B7:N7"/>
    <mergeCell ref="B8:K8"/>
    <mergeCell ref="M8:N8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Q101"/>
  <sheetViews>
    <sheetView view="pageBreakPreview" zoomScaleSheetLayoutView="100" zoomScalePageLayoutView="0" workbookViewId="0" topLeftCell="A65">
      <selection activeCell="S15" sqref="S15"/>
    </sheetView>
  </sheetViews>
  <sheetFormatPr defaultColWidth="9.00390625" defaultRowHeight="12.75"/>
  <cols>
    <col min="1" max="1" width="6.125" style="1" customWidth="1"/>
    <col min="2" max="2" width="13.625" style="134" customWidth="1"/>
    <col min="3" max="3" width="16.00390625" style="134" customWidth="1"/>
    <col min="4" max="4" width="7.75390625" style="134" customWidth="1"/>
    <col min="5" max="5" width="1.625" style="134" customWidth="1"/>
    <col min="6" max="6" width="5.00390625" style="134" customWidth="1"/>
    <col min="7" max="7" width="4.125" style="134" customWidth="1"/>
    <col min="8" max="8" width="8.00390625" style="134" customWidth="1"/>
    <col min="9" max="9" width="7.00390625" style="134" customWidth="1"/>
    <col min="10" max="10" width="4.25390625" style="134" customWidth="1"/>
    <col min="11" max="11" width="11.75390625" style="134" customWidth="1"/>
    <col min="12" max="12" width="7.00390625" style="134" customWidth="1"/>
    <col min="13" max="13" width="1.625" style="134" customWidth="1"/>
    <col min="14" max="14" width="11.625" style="134" customWidth="1"/>
    <col min="15" max="15" width="13.875" style="134" customWidth="1"/>
    <col min="16" max="16" width="10.125" style="0" bestFit="1" customWidth="1"/>
  </cols>
  <sheetData>
    <row r="1" spans="2:15" ht="33.75" customHeight="1">
      <c r="B1" s="510" t="s">
        <v>324</v>
      </c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</row>
    <row r="2" spans="2:15" ht="12.7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2:15" ht="12.75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2:15" ht="12.75">
      <c r="B4" s="511" t="s">
        <v>8</v>
      </c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</row>
    <row r="5" spans="2:15" ht="12.75">
      <c r="B5" s="512" t="s">
        <v>9</v>
      </c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</row>
    <row r="6" spans="2:15" ht="12.75">
      <c r="B6" s="512" t="s">
        <v>202</v>
      </c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</row>
    <row r="7" spans="2:15" ht="13.5" thickBot="1"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 t="s">
        <v>3</v>
      </c>
    </row>
    <row r="8" spans="2:15" ht="13.5" thickBot="1">
      <c r="B8" s="513"/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13"/>
      <c r="N8" s="513"/>
      <c r="O8" s="225">
        <f>N9+N10+N11+N12</f>
        <v>62556</v>
      </c>
    </row>
    <row r="9" spans="2:15" ht="12.75">
      <c r="B9" s="89" t="s">
        <v>203</v>
      </c>
      <c r="C9" s="90"/>
      <c r="D9" s="517">
        <v>0.302</v>
      </c>
      <c r="E9" s="514"/>
      <c r="F9" s="514"/>
      <c r="G9" s="42"/>
      <c r="H9" s="91"/>
      <c r="I9" s="42"/>
      <c r="J9" s="42"/>
      <c r="K9" s="92"/>
      <c r="L9" s="92"/>
      <c r="M9" s="627">
        <v>62556</v>
      </c>
      <c r="N9" s="628"/>
      <c r="O9" s="93"/>
    </row>
    <row r="10" spans="2:15" ht="12.75">
      <c r="B10" s="51"/>
      <c r="C10" s="52"/>
      <c r="D10" s="507"/>
      <c r="E10" s="507"/>
      <c r="F10" s="507"/>
      <c r="G10" s="57"/>
      <c r="H10" s="58"/>
      <c r="I10" s="57"/>
      <c r="J10" s="57"/>
      <c r="K10" s="68"/>
      <c r="L10" s="64" t="s">
        <v>2</v>
      </c>
      <c r="M10" s="508">
        <f>ROUND(D10*H10,)</f>
        <v>0</v>
      </c>
      <c r="N10" s="509"/>
      <c r="O10" s="94"/>
    </row>
    <row r="11" spans="2:15" ht="13.5" thickBot="1">
      <c r="B11" s="95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342">
        <f>M9+M10</f>
        <v>62556</v>
      </c>
      <c r="O11" s="98"/>
    </row>
    <row r="12" spans="2:15" ht="12.75">
      <c r="B12" s="511" t="s">
        <v>45</v>
      </c>
      <c r="C12" s="511"/>
      <c r="D12" s="511"/>
      <c r="E12" s="511"/>
      <c r="F12" s="511"/>
      <c r="G12" s="511"/>
      <c r="H12" s="511"/>
      <c r="I12" s="511"/>
      <c r="J12" s="511"/>
      <c r="K12" s="511"/>
      <c r="L12" s="511"/>
      <c r="M12" s="511"/>
      <c r="N12" s="511"/>
      <c r="O12" s="511"/>
    </row>
    <row r="13" spans="2:15" ht="12.75">
      <c r="B13" s="512" t="s">
        <v>56</v>
      </c>
      <c r="C13" s="512"/>
      <c r="D13" s="512"/>
      <c r="E13" s="512"/>
      <c r="F13" s="512"/>
      <c r="G13" s="512"/>
      <c r="H13" s="512"/>
      <c r="I13" s="512"/>
      <c r="J13" s="512"/>
      <c r="K13" s="512"/>
      <c r="L13" s="512"/>
      <c r="M13" s="512"/>
      <c r="N13" s="512"/>
      <c r="O13" s="512"/>
    </row>
    <row r="14" spans="2:15" ht="12.75">
      <c r="B14" s="512" t="s">
        <v>202</v>
      </c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</row>
    <row r="15" spans="2:15" ht="13.5" thickBot="1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 t="s">
        <v>3</v>
      </c>
    </row>
    <row r="16" spans="2:15" ht="13.5" thickBot="1">
      <c r="B16" s="513"/>
      <c r="C16" s="513"/>
      <c r="D16" s="513"/>
      <c r="E16" s="513"/>
      <c r="F16" s="513"/>
      <c r="G16" s="513"/>
      <c r="H16" s="513"/>
      <c r="I16" s="513"/>
      <c r="J16" s="513"/>
      <c r="K16" s="513"/>
      <c r="L16" s="513"/>
      <c r="M16" s="513"/>
      <c r="N16" s="513"/>
      <c r="O16" s="225">
        <f>M59</f>
        <v>237136.94</v>
      </c>
    </row>
    <row r="17" spans="2:15" ht="13.5" thickBot="1">
      <c r="B17" s="89" t="s">
        <v>204</v>
      </c>
      <c r="C17" s="90"/>
      <c r="D17" s="339"/>
      <c r="E17" s="101"/>
      <c r="F17" s="101"/>
      <c r="G17" s="90"/>
      <c r="H17" s="90"/>
      <c r="I17" s="90"/>
      <c r="J17" s="90"/>
      <c r="K17" s="340"/>
      <c r="L17" s="340"/>
      <c r="M17" s="629">
        <v>9446.4</v>
      </c>
      <c r="N17" s="630"/>
      <c r="O17" s="93"/>
    </row>
    <row r="18" spans="2:15" ht="12.75">
      <c r="B18" s="89" t="s">
        <v>205</v>
      </c>
      <c r="C18" s="52"/>
      <c r="D18" s="127"/>
      <c r="E18" s="62"/>
      <c r="F18" s="62"/>
      <c r="G18" s="52"/>
      <c r="H18" s="52"/>
      <c r="I18" s="52"/>
      <c r="J18" s="52"/>
      <c r="K18" s="341"/>
      <c r="L18" s="341"/>
      <c r="M18" s="631">
        <v>39456</v>
      </c>
      <c r="N18" s="632"/>
      <c r="O18" s="94"/>
    </row>
    <row r="19" spans="2:15" ht="12.75" hidden="1">
      <c r="B19" s="89"/>
      <c r="C19" s="52"/>
      <c r="D19" s="127"/>
      <c r="E19" s="62"/>
      <c r="F19" s="62"/>
      <c r="G19" s="52"/>
      <c r="H19" s="52"/>
      <c r="I19" s="52"/>
      <c r="J19" s="52"/>
      <c r="K19" s="341"/>
      <c r="L19" s="341"/>
      <c r="M19" s="365"/>
      <c r="N19" s="365"/>
      <c r="O19" s="94"/>
    </row>
    <row r="20" spans="2:15" ht="12.75" hidden="1">
      <c r="B20" s="55"/>
      <c r="C20" s="52"/>
      <c r="D20" s="127"/>
      <c r="E20" s="62"/>
      <c r="F20" s="62"/>
      <c r="G20" s="52"/>
      <c r="H20" s="52"/>
      <c r="I20" s="52"/>
      <c r="J20" s="52"/>
      <c r="K20" s="341"/>
      <c r="L20" s="341"/>
      <c r="M20" s="633"/>
      <c r="N20" s="633"/>
      <c r="O20" s="94"/>
    </row>
    <row r="21" spans="2:15" ht="12.75" hidden="1">
      <c r="B21" s="55"/>
      <c r="C21" s="52"/>
      <c r="D21" s="127"/>
      <c r="E21" s="62"/>
      <c r="F21" s="62"/>
      <c r="G21" s="52"/>
      <c r="H21" s="52"/>
      <c r="I21" s="52"/>
      <c r="J21" s="52"/>
      <c r="K21" s="341"/>
      <c r="L21" s="341"/>
      <c r="M21" s="369"/>
      <c r="N21" s="369"/>
      <c r="O21" s="94"/>
    </row>
    <row r="22" spans="2:15" ht="12.75" hidden="1">
      <c r="B22" s="118"/>
      <c r="C22" s="52"/>
      <c r="D22" s="127"/>
      <c r="E22" s="62"/>
      <c r="F22" s="62"/>
      <c r="G22" s="52"/>
      <c r="H22" s="52"/>
      <c r="I22" s="52"/>
      <c r="J22" s="52"/>
      <c r="K22" s="341"/>
      <c r="L22" s="341"/>
      <c r="M22" s="369"/>
      <c r="N22" s="369"/>
      <c r="O22" s="94"/>
    </row>
    <row r="23" spans="2:15" ht="12.75">
      <c r="B23" s="45" t="s">
        <v>319</v>
      </c>
      <c r="C23" s="52"/>
      <c r="D23" s="127"/>
      <c r="E23" s="62"/>
      <c r="F23" s="62"/>
      <c r="G23" s="52"/>
      <c r="H23" s="52"/>
      <c r="I23" s="52"/>
      <c r="J23" s="52"/>
      <c r="K23" s="341"/>
      <c r="L23" s="341"/>
      <c r="M23" s="369"/>
      <c r="N23" s="369">
        <v>28894.68</v>
      </c>
      <c r="O23" s="94"/>
    </row>
    <row r="24" spans="2:15" ht="12.75" hidden="1">
      <c r="B24" s="45"/>
      <c r="C24" s="52"/>
      <c r="D24" s="127"/>
      <c r="E24" s="62"/>
      <c r="F24" s="62"/>
      <c r="G24" s="52"/>
      <c r="H24" s="52"/>
      <c r="I24" s="52"/>
      <c r="J24" s="52"/>
      <c r="K24" s="341"/>
      <c r="L24" s="341"/>
      <c r="M24" s="369"/>
      <c r="N24" s="369"/>
      <c r="O24" s="94"/>
    </row>
    <row r="25" spans="2:16" ht="12.75" hidden="1">
      <c r="B25" s="45" t="s">
        <v>251</v>
      </c>
      <c r="C25" s="52"/>
      <c r="D25" s="127"/>
      <c r="E25" s="62"/>
      <c r="F25" s="62"/>
      <c r="G25" s="52"/>
      <c r="H25" s="52"/>
      <c r="I25" s="52"/>
      <c r="J25" s="52"/>
      <c r="K25" s="341"/>
      <c r="L25" s="341"/>
      <c r="M25" s="369"/>
      <c r="N25" s="369"/>
      <c r="O25" s="94"/>
      <c r="P25" s="430"/>
    </row>
    <row r="26" spans="2:16" ht="12.75" hidden="1">
      <c r="B26" s="45" t="s">
        <v>252</v>
      </c>
      <c r="C26" s="52"/>
      <c r="D26" s="127"/>
      <c r="E26" s="62"/>
      <c r="F26" s="62"/>
      <c r="G26" s="52"/>
      <c r="H26" s="52"/>
      <c r="I26" s="52"/>
      <c r="J26" s="52"/>
      <c r="K26" s="341"/>
      <c r="L26" s="341"/>
      <c r="M26" s="369"/>
      <c r="N26" s="367"/>
      <c r="O26" s="94"/>
      <c r="P26" s="430"/>
    </row>
    <row r="27" spans="2:16" ht="12.75" hidden="1">
      <c r="B27" s="45" t="s">
        <v>253</v>
      </c>
      <c r="C27" s="52"/>
      <c r="D27" s="127"/>
      <c r="E27" s="62"/>
      <c r="F27" s="62"/>
      <c r="G27" s="52"/>
      <c r="H27" s="52"/>
      <c r="I27" s="52"/>
      <c r="J27" s="52"/>
      <c r="K27" s="341"/>
      <c r="L27" s="341"/>
      <c r="M27" s="369"/>
      <c r="N27" s="377"/>
      <c r="O27" s="94"/>
      <c r="P27" s="430"/>
    </row>
    <row r="28" spans="2:15" ht="12.75" hidden="1">
      <c r="B28" s="45" t="s">
        <v>254</v>
      </c>
      <c r="C28" s="52"/>
      <c r="D28" s="127"/>
      <c r="E28" s="62"/>
      <c r="F28" s="62"/>
      <c r="G28" s="52"/>
      <c r="H28" s="52"/>
      <c r="I28" s="52"/>
      <c r="J28" s="52"/>
      <c r="K28" s="341"/>
      <c r="L28" s="341"/>
      <c r="M28" s="369"/>
      <c r="N28" s="77"/>
      <c r="O28" s="94"/>
    </row>
    <row r="29" spans="2:15" ht="12.75" hidden="1">
      <c r="B29" s="431" t="s">
        <v>255</v>
      </c>
      <c r="C29" s="52"/>
      <c r="D29" s="127"/>
      <c r="E29" s="62"/>
      <c r="F29" s="62"/>
      <c r="G29" s="52"/>
      <c r="H29" s="52"/>
      <c r="I29" s="52"/>
      <c r="J29" s="52"/>
      <c r="K29" s="341"/>
      <c r="L29" s="341"/>
      <c r="M29" s="369"/>
      <c r="N29" s="77"/>
      <c r="O29" s="94"/>
    </row>
    <row r="30" spans="2:15" ht="12.75" hidden="1">
      <c r="B30" s="45" t="s">
        <v>256</v>
      </c>
      <c r="C30" s="52"/>
      <c r="D30" s="127"/>
      <c r="E30" s="62"/>
      <c r="F30" s="62"/>
      <c r="G30" s="52"/>
      <c r="H30" s="52"/>
      <c r="I30" s="52"/>
      <c r="J30" s="52"/>
      <c r="K30" s="341"/>
      <c r="L30" s="341"/>
      <c r="M30" s="369"/>
      <c r="N30" s="371"/>
      <c r="O30" s="94"/>
    </row>
    <row r="31" spans="2:15" ht="12.75">
      <c r="B31" s="45" t="s">
        <v>257</v>
      </c>
      <c r="C31" s="52"/>
      <c r="D31" s="127"/>
      <c r="E31" s="62"/>
      <c r="F31" s="62"/>
      <c r="G31" s="52"/>
      <c r="H31" s="52"/>
      <c r="I31" s="52"/>
      <c r="J31" s="52"/>
      <c r="K31" s="341"/>
      <c r="L31" s="341"/>
      <c r="M31" s="369"/>
      <c r="N31" s="373">
        <f>5500-143.33-5299.31</f>
        <v>57.35999999999967</v>
      </c>
      <c r="O31" s="94"/>
    </row>
    <row r="32" spans="2:15" ht="12.75">
      <c r="B32" s="45" t="s">
        <v>258</v>
      </c>
      <c r="C32" s="52"/>
      <c r="D32" s="127"/>
      <c r="E32" s="62"/>
      <c r="F32" s="62"/>
      <c r="G32" s="52"/>
      <c r="H32" s="52"/>
      <c r="I32" s="52"/>
      <c r="J32" s="52"/>
      <c r="K32" s="341"/>
      <c r="L32" s="341"/>
      <c r="M32" s="369"/>
      <c r="N32" s="377"/>
      <c r="O32" s="94"/>
    </row>
    <row r="33" spans="2:15" ht="12.75">
      <c r="B33" s="45" t="s">
        <v>259</v>
      </c>
      <c r="C33" s="52"/>
      <c r="D33" s="127"/>
      <c r="E33" s="62"/>
      <c r="F33" s="62"/>
      <c r="G33" s="52"/>
      <c r="H33" s="52"/>
      <c r="I33" s="52"/>
      <c r="J33" s="52"/>
      <c r="K33" s="341"/>
      <c r="L33" s="341"/>
      <c r="M33" s="369"/>
      <c r="N33" s="77">
        <v>4230.5</v>
      </c>
      <c r="O33" s="94"/>
    </row>
    <row r="34" spans="2:15" ht="12.75">
      <c r="B34" s="45" t="s">
        <v>260</v>
      </c>
      <c r="C34" s="52"/>
      <c r="D34" s="127"/>
      <c r="E34" s="62"/>
      <c r="F34" s="62"/>
      <c r="G34" s="52"/>
      <c r="H34" s="52"/>
      <c r="I34" s="52"/>
      <c r="J34" s="52"/>
      <c r="K34" s="341"/>
      <c r="L34" s="341"/>
      <c r="M34" s="369"/>
      <c r="N34" s="371"/>
      <c r="O34" s="94"/>
    </row>
    <row r="35" spans="2:15" ht="12.75">
      <c r="B35" s="45" t="s">
        <v>320</v>
      </c>
      <c r="C35" s="52"/>
      <c r="D35" s="127"/>
      <c r="E35" s="62"/>
      <c r="F35" s="62"/>
      <c r="G35" s="52"/>
      <c r="H35" s="52"/>
      <c r="I35" s="52"/>
      <c r="J35" s="52"/>
      <c r="K35" s="341"/>
      <c r="L35" s="341"/>
      <c r="M35" s="369"/>
      <c r="N35" s="369">
        <v>8462</v>
      </c>
      <c r="O35" s="94"/>
    </row>
    <row r="36" spans="2:15" ht="12.75">
      <c r="B36" s="45" t="s">
        <v>260</v>
      </c>
      <c r="C36" s="52"/>
      <c r="D36" s="127"/>
      <c r="E36" s="62"/>
      <c r="F36" s="62"/>
      <c r="G36" s="52"/>
      <c r="H36" s="52"/>
      <c r="I36" s="52"/>
      <c r="J36" s="52"/>
      <c r="K36" s="341"/>
      <c r="L36" s="341"/>
      <c r="M36" s="369"/>
      <c r="N36" s="369"/>
      <c r="O36" s="94"/>
    </row>
    <row r="37" spans="2:15" ht="12.75" hidden="1">
      <c r="B37" s="55"/>
      <c r="C37" s="52"/>
      <c r="D37" s="127"/>
      <c r="E37" s="62"/>
      <c r="F37" s="62"/>
      <c r="G37" s="52"/>
      <c r="H37" s="52"/>
      <c r="I37" s="52"/>
      <c r="J37" s="52"/>
      <c r="K37" s="341"/>
      <c r="L37" s="341"/>
      <c r="M37" s="369"/>
      <c r="N37" s="369"/>
      <c r="O37" s="94"/>
    </row>
    <row r="38" spans="2:15" ht="12.75" hidden="1">
      <c r="B38" s="55"/>
      <c r="C38" s="52"/>
      <c r="D38" s="127"/>
      <c r="E38" s="62"/>
      <c r="F38" s="62"/>
      <c r="G38" s="52"/>
      <c r="H38" s="52"/>
      <c r="I38" s="52"/>
      <c r="J38" s="52"/>
      <c r="K38" s="341"/>
      <c r="L38" s="341"/>
      <c r="M38" s="369"/>
      <c r="N38" s="369"/>
      <c r="O38" s="94"/>
    </row>
    <row r="39" spans="2:15" ht="12.75">
      <c r="B39" s="55" t="s">
        <v>261</v>
      </c>
      <c r="C39" s="52"/>
      <c r="D39" s="127"/>
      <c r="E39" s="62"/>
      <c r="F39" s="62"/>
      <c r="G39" s="52"/>
      <c r="H39" s="52"/>
      <c r="I39" s="52"/>
      <c r="J39" s="52"/>
      <c r="K39" s="341"/>
      <c r="L39" s="341"/>
      <c r="M39" s="369"/>
      <c r="N39" s="369">
        <v>66350</v>
      </c>
      <c r="O39" s="94"/>
    </row>
    <row r="40" spans="2:15" ht="12.75">
      <c r="B40" s="55" t="s">
        <v>262</v>
      </c>
      <c r="C40" s="52"/>
      <c r="D40" s="127"/>
      <c r="E40" s="62"/>
      <c r="F40" s="62"/>
      <c r="G40" s="52"/>
      <c r="H40" s="52"/>
      <c r="I40" s="52"/>
      <c r="J40" s="52"/>
      <c r="K40" s="341"/>
      <c r="L40" s="341"/>
      <c r="M40" s="369"/>
      <c r="N40" s="369"/>
      <c r="O40" s="94"/>
    </row>
    <row r="41" spans="2:15" ht="12.75">
      <c r="B41" s="55" t="s">
        <v>263</v>
      </c>
      <c r="C41" s="52"/>
      <c r="D41" s="127"/>
      <c r="E41" s="62"/>
      <c r="F41" s="62"/>
      <c r="G41" s="52"/>
      <c r="H41" s="52"/>
      <c r="I41" s="52"/>
      <c r="J41" s="52"/>
      <c r="K41" s="341"/>
      <c r="L41" s="341"/>
      <c r="M41" s="369"/>
      <c r="N41" s="369">
        <v>5000</v>
      </c>
      <c r="O41" s="94"/>
    </row>
    <row r="42" spans="2:15" ht="12.75">
      <c r="B42" s="55" t="s">
        <v>262</v>
      </c>
      <c r="C42" s="52"/>
      <c r="D42" s="127"/>
      <c r="E42" s="62"/>
      <c r="F42" s="62"/>
      <c r="G42" s="52"/>
      <c r="H42" s="52"/>
      <c r="I42" s="52"/>
      <c r="J42" s="52"/>
      <c r="K42" s="341"/>
      <c r="L42" s="341"/>
      <c r="M42" s="369"/>
      <c r="N42" s="369"/>
      <c r="O42" s="94"/>
    </row>
    <row r="43" spans="2:15" ht="12.75">
      <c r="B43" s="55" t="s">
        <v>264</v>
      </c>
      <c r="C43" s="52"/>
      <c r="D43" s="127"/>
      <c r="E43" s="62"/>
      <c r="F43" s="62"/>
      <c r="G43" s="52"/>
      <c r="H43" s="52"/>
      <c r="I43" s="52"/>
      <c r="J43" s="52"/>
      <c r="K43" s="341"/>
      <c r="L43" s="341"/>
      <c r="M43" s="369"/>
      <c r="N43" s="369">
        <v>1800</v>
      </c>
      <c r="O43" s="94"/>
    </row>
    <row r="44" spans="2:15" ht="12.75">
      <c r="B44" s="55" t="s">
        <v>265</v>
      </c>
      <c r="C44" s="52"/>
      <c r="D44" s="127"/>
      <c r="E44" s="62"/>
      <c r="F44" s="62"/>
      <c r="G44" s="52"/>
      <c r="H44" s="52"/>
      <c r="I44" s="52"/>
      <c r="J44" s="52"/>
      <c r="K44" s="341"/>
      <c r="L44" s="341"/>
      <c r="M44" s="369"/>
      <c r="N44" s="369"/>
      <c r="O44" s="94"/>
    </row>
    <row r="45" spans="2:15" ht="12.75">
      <c r="B45" s="55" t="s">
        <v>266</v>
      </c>
      <c r="C45" s="52"/>
      <c r="D45" s="127"/>
      <c r="E45" s="62"/>
      <c r="F45" s="62" t="s">
        <v>48</v>
      </c>
      <c r="G45" s="52"/>
      <c r="H45" s="52"/>
      <c r="I45" s="52"/>
      <c r="J45" s="52"/>
      <c r="K45" s="341"/>
      <c r="L45" s="341"/>
      <c r="M45" s="369"/>
      <c r="N45" s="369">
        <v>33000</v>
      </c>
      <c r="O45" s="94"/>
    </row>
    <row r="46" spans="2:15" ht="12.75">
      <c r="B46" s="55" t="s">
        <v>267</v>
      </c>
      <c r="C46" s="52"/>
      <c r="D46" s="127"/>
      <c r="E46" s="62"/>
      <c r="F46" s="62"/>
      <c r="G46" s="52"/>
      <c r="H46" s="52"/>
      <c r="I46" s="52"/>
      <c r="J46" s="52"/>
      <c r="K46" s="341"/>
      <c r="L46" s="341"/>
      <c r="M46" s="369"/>
      <c r="N46" s="369"/>
      <c r="O46" s="94"/>
    </row>
    <row r="47" spans="2:15" ht="12.75">
      <c r="B47" s="55" t="s">
        <v>268</v>
      </c>
      <c r="C47" s="52"/>
      <c r="D47" s="127"/>
      <c r="E47" s="62"/>
      <c r="F47" s="62"/>
      <c r="G47" s="52"/>
      <c r="H47" s="52"/>
      <c r="I47" s="52"/>
      <c r="J47" s="52"/>
      <c r="K47" s="341"/>
      <c r="L47" s="341"/>
      <c r="M47" s="369"/>
      <c r="N47" s="369">
        <v>16240</v>
      </c>
      <c r="O47" s="94"/>
    </row>
    <row r="48" spans="2:15" ht="12.75">
      <c r="B48" s="55" t="s">
        <v>269</v>
      </c>
      <c r="C48" s="52"/>
      <c r="D48" s="127"/>
      <c r="E48" s="62"/>
      <c r="F48" s="62"/>
      <c r="G48" s="52"/>
      <c r="H48" s="52"/>
      <c r="I48" s="52"/>
      <c r="J48" s="52"/>
      <c r="K48" s="341"/>
      <c r="L48" s="341"/>
      <c r="M48" s="369"/>
      <c r="N48" s="369"/>
      <c r="O48" s="94"/>
    </row>
    <row r="49" spans="2:15" ht="12.75">
      <c r="B49" s="55" t="s">
        <v>270</v>
      </c>
      <c r="C49" s="52"/>
      <c r="D49" s="127"/>
      <c r="E49" s="62"/>
      <c r="F49" s="62"/>
      <c r="G49" s="52"/>
      <c r="H49" s="52"/>
      <c r="I49" s="52"/>
      <c r="J49" s="52"/>
      <c r="K49" s="341"/>
      <c r="L49" s="341"/>
      <c r="M49" s="369"/>
      <c r="N49" s="369">
        <v>10000</v>
      </c>
      <c r="O49" s="94"/>
    </row>
    <row r="50" spans="2:15" ht="12.75">
      <c r="B50" s="55" t="s">
        <v>271</v>
      </c>
      <c r="C50" s="52"/>
      <c r="D50" s="127"/>
      <c r="E50" s="62"/>
      <c r="F50" s="62"/>
      <c r="G50" s="52"/>
      <c r="H50" s="52"/>
      <c r="I50" s="52"/>
      <c r="J50" s="52"/>
      <c r="K50" s="341"/>
      <c r="L50" s="341"/>
      <c r="M50" s="369"/>
      <c r="N50" s="369"/>
      <c r="O50" s="94"/>
    </row>
    <row r="51" spans="2:15" ht="12.75">
      <c r="B51" s="55" t="s">
        <v>272</v>
      </c>
      <c r="C51" s="52"/>
      <c r="D51" s="127"/>
      <c r="E51" s="62"/>
      <c r="F51" s="62"/>
      <c r="G51" s="52"/>
      <c r="H51" s="52"/>
      <c r="I51" s="52"/>
      <c r="J51" s="52"/>
      <c r="K51" s="341"/>
      <c r="L51" s="341"/>
      <c r="M51" s="369"/>
      <c r="N51" s="369">
        <v>4800</v>
      </c>
      <c r="O51" s="94"/>
    </row>
    <row r="52" spans="2:15" ht="12.75">
      <c r="B52" s="55" t="s">
        <v>273</v>
      </c>
      <c r="C52" s="52"/>
      <c r="D52" s="127"/>
      <c r="E52" s="62"/>
      <c r="F52" s="62"/>
      <c r="G52" s="52"/>
      <c r="H52" s="52"/>
      <c r="I52" s="52"/>
      <c r="J52" s="52"/>
      <c r="K52" s="341"/>
      <c r="L52" s="341"/>
      <c r="M52" s="369"/>
      <c r="N52" s="369"/>
      <c r="O52" s="94"/>
    </row>
    <row r="53" spans="2:15" ht="12.75">
      <c r="B53" s="55" t="s">
        <v>274</v>
      </c>
      <c r="C53" s="52"/>
      <c r="D53" s="127"/>
      <c r="E53" s="62"/>
      <c r="F53" s="62"/>
      <c r="G53" s="52"/>
      <c r="H53" s="52"/>
      <c r="I53" s="52"/>
      <c r="J53" s="52"/>
      <c r="K53" s="341"/>
      <c r="L53" s="341"/>
      <c r="M53" s="369"/>
      <c r="N53" s="369">
        <v>4800</v>
      </c>
      <c r="O53" s="94"/>
    </row>
    <row r="54" spans="2:15" ht="12.75">
      <c r="B54" s="55" t="s">
        <v>275</v>
      </c>
      <c r="C54" s="52"/>
      <c r="D54" s="127"/>
      <c r="E54" s="62"/>
      <c r="F54" s="62"/>
      <c r="G54" s="52"/>
      <c r="H54" s="52"/>
      <c r="I54" s="52"/>
      <c r="J54" s="52"/>
      <c r="K54" s="341"/>
      <c r="L54" s="341"/>
      <c r="M54" s="369"/>
      <c r="N54" s="369"/>
      <c r="O54" s="94"/>
    </row>
    <row r="55" spans="2:15" ht="12.75">
      <c r="B55" s="55" t="s">
        <v>276</v>
      </c>
      <c r="C55" s="52"/>
      <c r="D55" s="127"/>
      <c r="E55" s="62"/>
      <c r="F55" s="62"/>
      <c r="G55" s="52"/>
      <c r="H55" s="52"/>
      <c r="I55" s="52"/>
      <c r="J55" s="52"/>
      <c r="K55" s="341"/>
      <c r="L55" s="341"/>
      <c r="M55" s="369"/>
      <c r="N55" s="369">
        <f>4600</f>
        <v>4600</v>
      </c>
      <c r="O55" s="94"/>
    </row>
    <row r="56" spans="2:15" ht="12.75">
      <c r="B56" s="55" t="s">
        <v>277</v>
      </c>
      <c r="C56" s="52"/>
      <c r="D56" s="127"/>
      <c r="E56" s="62"/>
      <c r="F56" s="62"/>
      <c r="G56" s="52"/>
      <c r="H56" s="52"/>
      <c r="I56" s="52"/>
      <c r="J56" s="52"/>
      <c r="K56" s="341"/>
      <c r="L56" s="341"/>
      <c r="M56" s="369"/>
      <c r="N56" s="369"/>
      <c r="O56" s="94"/>
    </row>
    <row r="57" spans="2:15" ht="12.75" customHeight="1" hidden="1">
      <c r="B57" s="55" t="s">
        <v>278</v>
      </c>
      <c r="C57" s="52"/>
      <c r="D57" s="127"/>
      <c r="E57" s="62"/>
      <c r="F57" s="62"/>
      <c r="G57" s="52"/>
      <c r="H57" s="52"/>
      <c r="I57" s="52"/>
      <c r="J57" s="52"/>
      <c r="K57" s="341"/>
      <c r="L57" s="341"/>
      <c r="M57" s="369"/>
      <c r="N57" s="369"/>
      <c r="O57" s="94"/>
    </row>
    <row r="58" spans="2:15" ht="12.75" customHeight="1" hidden="1">
      <c r="B58" s="55" t="s">
        <v>279</v>
      </c>
      <c r="C58" s="52"/>
      <c r="D58" s="127"/>
      <c r="E58" s="62"/>
      <c r="F58" s="62"/>
      <c r="G58" s="52"/>
      <c r="H58" s="52"/>
      <c r="I58" s="52"/>
      <c r="J58" s="52"/>
      <c r="K58" s="341"/>
      <c r="L58" s="341"/>
      <c r="M58" s="357"/>
      <c r="N58" s="358"/>
      <c r="O58" s="94"/>
    </row>
    <row r="59" spans="2:15" ht="13.5" thickBot="1">
      <c r="B59" s="95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634">
        <f>SUM(M17:N57)</f>
        <v>237136.94</v>
      </c>
      <c r="N59" s="635"/>
      <c r="O59" s="98"/>
    </row>
    <row r="60" spans="2:15" ht="12.75">
      <c r="B60" s="511" t="s">
        <v>32</v>
      </c>
      <c r="C60" s="511"/>
      <c r="D60" s="511"/>
      <c r="E60" s="511"/>
      <c r="F60" s="511"/>
      <c r="G60" s="511"/>
      <c r="H60" s="511"/>
      <c r="I60" s="511"/>
      <c r="J60" s="511"/>
      <c r="K60" s="511"/>
      <c r="L60" s="511"/>
      <c r="M60" s="511"/>
      <c r="N60" s="511"/>
      <c r="O60" s="511"/>
    </row>
    <row r="61" spans="2:15" ht="12.75">
      <c r="B61" s="512" t="s">
        <v>49</v>
      </c>
      <c r="C61" s="512"/>
      <c r="D61" s="512"/>
      <c r="E61" s="512"/>
      <c r="F61" s="512"/>
      <c r="G61" s="512"/>
      <c r="H61" s="512"/>
      <c r="I61" s="512"/>
      <c r="J61" s="512"/>
      <c r="K61" s="512"/>
      <c r="L61" s="512"/>
      <c r="M61" s="512"/>
      <c r="N61" s="512"/>
      <c r="O61" s="512"/>
    </row>
    <row r="62" spans="2:17" ht="12.75">
      <c r="B62" s="512" t="s">
        <v>202</v>
      </c>
      <c r="C62" s="512"/>
      <c r="D62" s="512"/>
      <c r="E62" s="512"/>
      <c r="F62" s="512"/>
      <c r="G62" s="512"/>
      <c r="H62" s="512"/>
      <c r="I62" s="512"/>
      <c r="J62" s="512"/>
      <c r="K62" s="512"/>
      <c r="L62" s="512"/>
      <c r="M62" s="512"/>
      <c r="N62" s="512"/>
      <c r="O62" s="512"/>
      <c r="Q62" t="s">
        <v>48</v>
      </c>
    </row>
    <row r="63" spans="2:15" ht="13.5" thickBot="1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 t="s">
        <v>3</v>
      </c>
    </row>
    <row r="64" spans="2:15" ht="13.5" thickBot="1">
      <c r="B64" s="513"/>
      <c r="C64" s="513"/>
      <c r="D64" s="513"/>
      <c r="E64" s="513"/>
      <c r="F64" s="513"/>
      <c r="G64" s="513"/>
      <c r="H64" s="513"/>
      <c r="I64" s="513"/>
      <c r="J64" s="513"/>
      <c r="K64" s="513"/>
      <c r="L64" s="513"/>
      <c r="M64" s="513"/>
      <c r="N64" s="513"/>
      <c r="O64" s="225">
        <f>M75</f>
        <v>67184</v>
      </c>
    </row>
    <row r="65" spans="2:15" ht="12.75">
      <c r="B65" s="89"/>
      <c r="C65" s="90"/>
      <c r="D65" s="339"/>
      <c r="E65" s="101"/>
      <c r="F65" s="101"/>
      <c r="G65" s="90"/>
      <c r="H65" s="90"/>
      <c r="I65" s="90"/>
      <c r="J65" s="90"/>
      <c r="K65" s="340"/>
      <c r="L65" s="340"/>
      <c r="M65" s="638"/>
      <c r="N65" s="638"/>
      <c r="O65" s="383"/>
    </row>
    <row r="66" spans="2:15" ht="12.75" hidden="1">
      <c r="B66" s="118"/>
      <c r="C66" s="61"/>
      <c r="D66" s="361"/>
      <c r="E66" s="206"/>
      <c r="F66" s="206"/>
      <c r="G66" s="61"/>
      <c r="H66" s="61"/>
      <c r="I66" s="61"/>
      <c r="J66" s="61"/>
      <c r="K66" s="362"/>
      <c r="L66" s="362"/>
      <c r="M66" s="365"/>
      <c r="N66" s="365"/>
      <c r="O66" s="384"/>
    </row>
    <row r="67" spans="2:15" ht="12.75" hidden="1">
      <c r="B67" s="375"/>
      <c r="C67" s="385"/>
      <c r="D67" s="385"/>
      <c r="E67" s="385"/>
      <c r="F67" s="60"/>
      <c r="G67" s="57"/>
      <c r="H67" s="57"/>
      <c r="I67" s="57"/>
      <c r="J67" s="57"/>
      <c r="K67" s="68"/>
      <c r="L67" s="68"/>
      <c r="M67" s="367"/>
      <c r="N67" s="367"/>
      <c r="O67" s="384"/>
    </row>
    <row r="68" spans="2:15" ht="12.75" hidden="1">
      <c r="B68" s="596"/>
      <c r="C68" s="505"/>
      <c r="D68" s="505"/>
      <c r="E68" s="505"/>
      <c r="F68" s="60"/>
      <c r="G68" s="57"/>
      <c r="H68" s="57"/>
      <c r="I68" s="57"/>
      <c r="J68" s="57"/>
      <c r="K68" s="68"/>
      <c r="L68" s="68"/>
      <c r="M68" s="367"/>
      <c r="N68" s="367"/>
      <c r="O68" s="384"/>
    </row>
    <row r="69" spans="2:15" ht="12.75" hidden="1">
      <c r="B69" s="379"/>
      <c r="C69" s="386"/>
      <c r="D69" s="387"/>
      <c r="E69" s="374"/>
      <c r="F69" s="60"/>
      <c r="G69" s="57"/>
      <c r="H69" s="57"/>
      <c r="I69" s="57"/>
      <c r="J69" s="57"/>
      <c r="K69" s="68"/>
      <c r="L69" s="68"/>
      <c r="M69" s="367"/>
      <c r="N69" s="367"/>
      <c r="O69" s="384"/>
    </row>
    <row r="70" spans="2:15" ht="12.75" hidden="1">
      <c r="B70" s="82"/>
      <c r="C70" s="4"/>
      <c r="D70" s="4"/>
      <c r="E70" s="4"/>
      <c r="F70" s="60"/>
      <c r="G70" s="57"/>
      <c r="H70" s="57"/>
      <c r="I70" s="57"/>
      <c r="J70" s="57"/>
      <c r="K70" s="68"/>
      <c r="L70" s="68"/>
      <c r="M70" s="367"/>
      <c r="N70" s="367"/>
      <c r="O70" s="384"/>
    </row>
    <row r="71" spans="2:15" ht="12.75" hidden="1">
      <c r="B71" s="55"/>
      <c r="C71" s="4"/>
      <c r="D71" s="4"/>
      <c r="E71" s="4"/>
      <c r="F71" s="60"/>
      <c r="G71" s="57"/>
      <c r="H71" s="57"/>
      <c r="I71" s="57"/>
      <c r="J71" s="57"/>
      <c r="K71" s="68"/>
      <c r="L71" s="68"/>
      <c r="M71" s="367"/>
      <c r="N71" s="367"/>
      <c r="O71" s="384"/>
    </row>
    <row r="72" spans="2:15" ht="12.75" hidden="1">
      <c r="B72" s="55"/>
      <c r="C72" s="4"/>
      <c r="D72" s="4"/>
      <c r="E72" s="4"/>
      <c r="F72" s="60"/>
      <c r="G72" s="57"/>
      <c r="H72" s="57"/>
      <c r="I72" s="57"/>
      <c r="J72" s="57"/>
      <c r="K72" s="68"/>
      <c r="L72" s="68"/>
      <c r="M72" s="371"/>
      <c r="N72" s="371"/>
      <c r="O72" s="384"/>
    </row>
    <row r="73" spans="2:15" ht="12.75">
      <c r="B73" s="525" t="s">
        <v>322</v>
      </c>
      <c r="C73" s="526"/>
      <c r="D73" s="526"/>
      <c r="E73" s="526"/>
      <c r="F73" s="526"/>
      <c r="G73" s="526"/>
      <c r="H73" s="526"/>
      <c r="I73" s="526"/>
      <c r="J73" s="526"/>
      <c r="K73" s="526"/>
      <c r="L73" s="526"/>
      <c r="M73" s="371"/>
      <c r="N73" s="371">
        <v>20000</v>
      </c>
      <c r="O73" s="384"/>
    </row>
    <row r="74" spans="2:15" ht="13.5" thickBot="1">
      <c r="B74" s="118" t="s">
        <v>321</v>
      </c>
      <c r="C74" s="374"/>
      <c r="D74" s="374"/>
      <c r="E74" s="374"/>
      <c r="F74" s="206"/>
      <c r="G74" s="61"/>
      <c r="H74" s="61"/>
      <c r="I74" s="61"/>
      <c r="J74" s="61"/>
      <c r="K74" s="362"/>
      <c r="L74" s="362"/>
      <c r="M74" s="371"/>
      <c r="N74" s="371">
        <v>47184</v>
      </c>
      <c r="O74" s="384"/>
    </row>
    <row r="75" spans="2:15" ht="13.5" thickBot="1">
      <c r="B75" s="99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639">
        <f>N73+N74</f>
        <v>67184</v>
      </c>
      <c r="N75" s="640"/>
      <c r="O75" s="388"/>
    </row>
    <row r="76" spans="2:15" ht="12.75">
      <c r="B76" s="511" t="s">
        <v>10</v>
      </c>
      <c r="C76" s="511"/>
      <c r="D76" s="511"/>
      <c r="E76" s="511"/>
      <c r="F76" s="511"/>
      <c r="G76" s="511"/>
      <c r="H76" s="511"/>
      <c r="I76" s="511"/>
      <c r="J76" s="511"/>
      <c r="K76" s="511"/>
      <c r="L76" s="511"/>
      <c r="M76" s="511"/>
      <c r="N76" s="511"/>
      <c r="O76" s="511"/>
    </row>
    <row r="77" spans="2:15" ht="12.75">
      <c r="B77" s="512" t="s">
        <v>11</v>
      </c>
      <c r="C77" s="512"/>
      <c r="D77" s="512"/>
      <c r="E77" s="512"/>
      <c r="F77" s="512"/>
      <c r="G77" s="512"/>
      <c r="H77" s="512"/>
      <c r="I77" s="512"/>
      <c r="J77" s="512"/>
      <c r="K77" s="512"/>
      <c r="L77" s="512"/>
      <c r="M77" s="512"/>
      <c r="N77" s="512"/>
      <c r="O77" s="512"/>
    </row>
    <row r="78" spans="2:15" ht="12.75">
      <c r="B78" s="512" t="s">
        <v>202</v>
      </c>
      <c r="C78" s="512"/>
      <c r="D78" s="512"/>
      <c r="E78" s="512"/>
      <c r="F78" s="512"/>
      <c r="G78" s="512"/>
      <c r="H78" s="512"/>
      <c r="I78" s="512"/>
      <c r="J78" s="512"/>
      <c r="K78" s="512"/>
      <c r="L78" s="512"/>
      <c r="M78" s="512"/>
      <c r="N78" s="512"/>
      <c r="O78" s="512"/>
    </row>
    <row r="79" spans="2:15" ht="13.5" thickBot="1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 t="s">
        <v>3</v>
      </c>
    </row>
    <row r="80" spans="2:15" ht="13.5" thickBot="1">
      <c r="B80" s="513"/>
      <c r="C80" s="513"/>
      <c r="D80" s="513"/>
      <c r="E80" s="513"/>
      <c r="F80" s="513"/>
      <c r="G80" s="513"/>
      <c r="H80" s="513"/>
      <c r="I80" s="513"/>
      <c r="J80" s="513"/>
      <c r="K80" s="513"/>
      <c r="L80" s="513"/>
      <c r="M80" s="513"/>
      <c r="N80" s="513"/>
      <c r="O80" s="225">
        <f>M93</f>
        <v>79738.2</v>
      </c>
    </row>
    <row r="81" spans="2:15" ht="12.75">
      <c r="B81" s="89" t="s">
        <v>280</v>
      </c>
      <c r="C81" s="90"/>
      <c r="D81" s="339"/>
      <c r="E81" s="101"/>
      <c r="F81" s="101"/>
      <c r="G81" s="90"/>
      <c r="H81" s="90"/>
      <c r="I81" s="90"/>
      <c r="J81" s="90"/>
      <c r="K81" s="340"/>
      <c r="L81" s="340"/>
      <c r="M81" s="629">
        <v>17290</v>
      </c>
      <c r="N81" s="642"/>
      <c r="O81" s="43"/>
    </row>
    <row r="82" spans="2:15" ht="12.75" hidden="1">
      <c r="B82" s="118" t="s">
        <v>247</v>
      </c>
      <c r="C82" s="61"/>
      <c r="D82" s="361"/>
      <c r="E82" s="206"/>
      <c r="F82" s="206"/>
      <c r="G82" s="61"/>
      <c r="H82" s="61"/>
      <c r="I82" s="61"/>
      <c r="J82" s="61"/>
      <c r="K82" s="362"/>
      <c r="L82" s="362"/>
      <c r="M82" s="365"/>
      <c r="N82" s="382"/>
      <c r="O82" s="380"/>
    </row>
    <row r="83" spans="2:15" ht="12.75" hidden="1">
      <c r="B83" s="55" t="s">
        <v>281</v>
      </c>
      <c r="C83" s="57"/>
      <c r="D83" s="343"/>
      <c r="E83" s="60"/>
      <c r="F83" s="60"/>
      <c r="G83" s="57"/>
      <c r="H83" s="57"/>
      <c r="I83" s="57"/>
      <c r="J83" s="57"/>
      <c r="K83" s="68"/>
      <c r="L83" s="68"/>
      <c r="M83" s="367"/>
      <c r="N83" s="373"/>
      <c r="O83" s="380"/>
    </row>
    <row r="84" spans="2:16" ht="12.75" hidden="1">
      <c r="B84" s="376" t="s">
        <v>282</v>
      </c>
      <c r="C84" s="57"/>
      <c r="D84" s="343"/>
      <c r="E84" s="60"/>
      <c r="F84" s="60"/>
      <c r="G84" s="57"/>
      <c r="H84" s="57"/>
      <c r="I84" s="57"/>
      <c r="J84" s="57"/>
      <c r="K84" s="68"/>
      <c r="L84" s="68"/>
      <c r="M84" s="77"/>
      <c r="N84" s="418"/>
      <c r="O84" s="380"/>
      <c r="P84" s="430">
        <f>N92+N82+N90+N88</f>
        <v>62448.2</v>
      </c>
    </row>
    <row r="85" spans="2:16" ht="12.75" hidden="1">
      <c r="B85" s="376" t="s">
        <v>283</v>
      </c>
      <c r="C85" s="57"/>
      <c r="D85" s="343"/>
      <c r="E85" s="60"/>
      <c r="F85" s="60"/>
      <c r="G85" s="57"/>
      <c r="H85" s="57"/>
      <c r="I85" s="57"/>
      <c r="J85" s="57"/>
      <c r="K85" s="68"/>
      <c r="L85" s="68"/>
      <c r="M85" s="77"/>
      <c r="N85" s="378"/>
      <c r="O85" s="380"/>
      <c r="P85" s="430">
        <f>P84-O80</f>
        <v>-17290</v>
      </c>
    </row>
    <row r="86" spans="2:15" ht="12.75" hidden="1">
      <c r="B86" s="376" t="s">
        <v>284</v>
      </c>
      <c r="C86" s="57"/>
      <c r="D86" s="343"/>
      <c r="E86" s="60"/>
      <c r="F86" s="60"/>
      <c r="G86" s="57"/>
      <c r="H86" s="57"/>
      <c r="I86" s="57"/>
      <c r="J86" s="57"/>
      <c r="K86" s="68"/>
      <c r="L86" s="68"/>
      <c r="M86" s="77"/>
      <c r="N86" s="417"/>
      <c r="O86" s="380"/>
    </row>
    <row r="87" spans="2:15" ht="12.75" hidden="1">
      <c r="B87" s="82" t="s">
        <v>285</v>
      </c>
      <c r="C87" s="57"/>
      <c r="D87" s="343"/>
      <c r="E87" s="60"/>
      <c r="F87" s="60"/>
      <c r="G87" s="57"/>
      <c r="H87" s="57"/>
      <c r="I87" s="57"/>
      <c r="J87" s="57"/>
      <c r="K87" s="68"/>
      <c r="L87" s="68"/>
      <c r="M87" s="77"/>
      <c r="N87" s="378"/>
      <c r="O87" s="380"/>
    </row>
    <row r="88" spans="2:15" ht="12.75" hidden="1">
      <c r="B88" s="356" t="s">
        <v>286</v>
      </c>
      <c r="C88" s="57"/>
      <c r="D88" s="343"/>
      <c r="E88" s="60"/>
      <c r="F88" s="60"/>
      <c r="G88" s="57"/>
      <c r="H88" s="57"/>
      <c r="I88" s="57"/>
      <c r="J88" s="57"/>
      <c r="K88" s="68"/>
      <c r="L88" s="68"/>
      <c r="M88" s="77"/>
      <c r="N88" s="378"/>
      <c r="O88" s="380"/>
    </row>
    <row r="89" spans="2:15" ht="12.75" hidden="1">
      <c r="B89" s="82" t="s">
        <v>287</v>
      </c>
      <c r="C89" s="57"/>
      <c r="D89" s="343"/>
      <c r="E89" s="60"/>
      <c r="F89" s="60"/>
      <c r="G89" s="57"/>
      <c r="H89" s="57"/>
      <c r="I89" s="57"/>
      <c r="J89" s="57"/>
      <c r="K89" s="68"/>
      <c r="L89" s="68"/>
      <c r="M89" s="77"/>
      <c r="N89" s="378"/>
      <c r="O89" s="380"/>
    </row>
    <row r="90" spans="2:15" ht="12.75">
      <c r="B90" s="379" t="s">
        <v>288</v>
      </c>
      <c r="C90" s="61"/>
      <c r="D90" s="361"/>
      <c r="E90" s="206"/>
      <c r="F90" s="206"/>
      <c r="G90" s="61"/>
      <c r="H90" s="61"/>
      <c r="I90" s="61"/>
      <c r="J90" s="61"/>
      <c r="K90" s="362"/>
      <c r="L90" s="362"/>
      <c r="M90" s="377"/>
      <c r="N90" s="417">
        <v>27900</v>
      </c>
      <c r="O90" s="380"/>
    </row>
    <row r="91" spans="2:15" ht="12.75">
      <c r="B91" s="379" t="s">
        <v>287</v>
      </c>
      <c r="C91" s="52"/>
      <c r="D91" s="127"/>
      <c r="E91" s="62"/>
      <c r="F91" s="62"/>
      <c r="G91" s="52"/>
      <c r="H91" s="52"/>
      <c r="I91" s="52"/>
      <c r="J91" s="52"/>
      <c r="K91" s="341"/>
      <c r="L91" s="341"/>
      <c r="M91" s="636"/>
      <c r="N91" s="637"/>
      <c r="O91" s="380"/>
    </row>
    <row r="92" spans="2:15" ht="12.75">
      <c r="B92" s="416" t="s">
        <v>305</v>
      </c>
      <c r="C92" s="52"/>
      <c r="D92" s="127"/>
      <c r="E92" s="62"/>
      <c r="F92" s="62"/>
      <c r="G92" s="52"/>
      <c r="H92" s="52"/>
      <c r="I92" s="52"/>
      <c r="J92" s="52"/>
      <c r="K92" s="341"/>
      <c r="L92" s="341"/>
      <c r="M92" s="357"/>
      <c r="N92" s="419">
        <v>34548.2</v>
      </c>
      <c r="O92" s="380"/>
    </row>
    <row r="93" spans="2:15" ht="13.5" thickBot="1">
      <c r="B93" s="95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634">
        <f>M81+N82+N84+N86+N88+N90+N92</f>
        <v>79738.2</v>
      </c>
      <c r="N93" s="641"/>
      <c r="O93" s="381"/>
    </row>
    <row r="94" spans="2:15" ht="12.75"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</row>
    <row r="95" spans="2:15" ht="12.75">
      <c r="B95" s="62"/>
      <c r="C95" s="62"/>
      <c r="D95" s="62"/>
      <c r="E95" s="62"/>
      <c r="F95" s="62"/>
      <c r="G95" s="62"/>
      <c r="H95" s="62"/>
      <c r="I95" s="52"/>
      <c r="J95" s="52"/>
      <c r="K95" s="52"/>
      <c r="L95" s="52"/>
      <c r="M95" s="52"/>
      <c r="N95" s="52"/>
      <c r="O95" s="52"/>
    </row>
    <row r="96" spans="2:15" ht="12.75">
      <c r="B96" s="544" t="s">
        <v>42</v>
      </c>
      <c r="C96" s="544"/>
      <c r="D96" s="84" t="s">
        <v>43</v>
      </c>
      <c r="E96" s="545"/>
      <c r="F96" s="545"/>
      <c r="G96" s="545"/>
      <c r="H96" s="545"/>
      <c r="I96" s="5"/>
      <c r="J96" s="5"/>
      <c r="K96" s="6" t="s">
        <v>12</v>
      </c>
      <c r="L96" s="6"/>
      <c r="M96" s="6"/>
      <c r="N96" s="6"/>
      <c r="O96" s="6"/>
    </row>
    <row r="97" spans="2:15" ht="12.75">
      <c r="B97" s="7"/>
      <c r="C97" s="7"/>
      <c r="D97" s="7"/>
      <c r="E97" s="5"/>
      <c r="F97" s="5"/>
      <c r="G97" s="5"/>
      <c r="H97" s="5"/>
      <c r="I97" s="5"/>
      <c r="J97" s="5"/>
      <c r="K97" s="5" t="s">
        <v>5</v>
      </c>
      <c r="L97" s="6"/>
      <c r="M97" s="6"/>
      <c r="N97" s="6"/>
      <c r="O97" s="6"/>
    </row>
    <row r="98" spans="2:15" ht="12.75">
      <c r="B98" s="7"/>
      <c r="C98" s="7"/>
      <c r="D98" s="7"/>
      <c r="E98" s="7"/>
      <c r="F98" s="7"/>
      <c r="G98" s="7"/>
      <c r="H98" s="7"/>
      <c r="I98" s="7"/>
      <c r="J98" s="5"/>
      <c r="K98" s="5"/>
      <c r="L98" s="6"/>
      <c r="M98" s="6"/>
      <c r="N98" s="6"/>
      <c r="O98" s="6"/>
    </row>
    <row r="99" spans="2:15" ht="12.75">
      <c r="B99" s="544" t="s">
        <v>44</v>
      </c>
      <c r="C99" s="544"/>
      <c r="D99" s="84" t="s">
        <v>43</v>
      </c>
      <c r="E99" s="545"/>
      <c r="F99" s="545"/>
      <c r="G99" s="545"/>
      <c r="H99" s="545"/>
      <c r="I99" s="5"/>
      <c r="J99" s="5"/>
      <c r="K99" s="5" t="s">
        <v>289</v>
      </c>
      <c r="L99" s="6"/>
      <c r="M99" s="6"/>
      <c r="N99" s="6"/>
      <c r="O99" s="6"/>
    </row>
    <row r="100" spans="2:15" ht="12.75">
      <c r="B100" s="6"/>
      <c r="C100" s="6"/>
      <c r="D100" s="6"/>
      <c r="E100" s="5"/>
      <c r="F100" s="5"/>
      <c r="G100" s="6"/>
      <c r="H100" s="6"/>
      <c r="I100" s="6"/>
      <c r="J100" s="5"/>
      <c r="K100" s="5" t="s">
        <v>5</v>
      </c>
      <c r="L100" s="6"/>
      <c r="M100" s="6"/>
      <c r="N100" s="6"/>
      <c r="O100" s="6"/>
    </row>
    <row r="101" spans="2:15" ht="12.7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</row>
  </sheetData>
  <sheetProtection/>
  <mergeCells count="36">
    <mergeCell ref="M93:N93"/>
    <mergeCell ref="B96:C96"/>
    <mergeCell ref="E96:H96"/>
    <mergeCell ref="B99:C99"/>
    <mergeCell ref="E99:H99"/>
    <mergeCell ref="B76:O76"/>
    <mergeCell ref="B77:O77"/>
    <mergeCell ref="B78:O78"/>
    <mergeCell ref="B80:N80"/>
    <mergeCell ref="M81:N81"/>
    <mergeCell ref="M91:N91"/>
    <mergeCell ref="B62:O62"/>
    <mergeCell ref="B64:N64"/>
    <mergeCell ref="M65:N65"/>
    <mergeCell ref="B68:E68"/>
    <mergeCell ref="B73:L73"/>
    <mergeCell ref="M75:N75"/>
    <mergeCell ref="M17:N17"/>
    <mergeCell ref="M18:N18"/>
    <mergeCell ref="M20:N20"/>
    <mergeCell ref="M59:N59"/>
    <mergeCell ref="B60:O60"/>
    <mergeCell ref="B61:O61"/>
    <mergeCell ref="D10:F10"/>
    <mergeCell ref="M10:N10"/>
    <mergeCell ref="B12:O12"/>
    <mergeCell ref="B13:O13"/>
    <mergeCell ref="B14:O14"/>
    <mergeCell ref="B16:N16"/>
    <mergeCell ref="B1:O1"/>
    <mergeCell ref="B4:O4"/>
    <mergeCell ref="B5:O5"/>
    <mergeCell ref="B6:O6"/>
    <mergeCell ref="B8:N8"/>
    <mergeCell ref="D9:F9"/>
    <mergeCell ref="M9:N9"/>
  </mergeCells>
  <printOptions/>
  <pageMargins left="0.7" right="0.7" top="0.75" bottom="0.75" header="0.3" footer="0.3"/>
  <pageSetup horizontalDpi="600" verticalDpi="600" orientation="portrait" paperSize="9" scale="73" r:id="rId1"/>
  <colBreaks count="1" manualBreakCount="1">
    <brk id="1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O43"/>
  <sheetViews>
    <sheetView view="pageBreakPreview" zoomScaleSheetLayoutView="100" zoomScalePageLayoutView="0" workbookViewId="0" topLeftCell="A4">
      <selection activeCell="Q28" sqref="Q28"/>
    </sheetView>
  </sheetViews>
  <sheetFormatPr defaultColWidth="9.00390625" defaultRowHeight="12.75"/>
  <cols>
    <col min="1" max="1" width="6.125" style="1" customWidth="1"/>
    <col min="2" max="2" width="13.625" style="134" customWidth="1"/>
    <col min="3" max="3" width="16.00390625" style="134" customWidth="1"/>
    <col min="4" max="4" width="7.75390625" style="134" customWidth="1"/>
    <col min="5" max="5" width="1.625" style="134" customWidth="1"/>
    <col min="6" max="6" width="5.00390625" style="134" customWidth="1"/>
    <col min="7" max="7" width="4.125" style="134" customWidth="1"/>
    <col min="8" max="8" width="8.00390625" style="134" customWidth="1"/>
    <col min="9" max="9" width="7.00390625" style="134" customWidth="1"/>
    <col min="10" max="10" width="4.25390625" style="134" customWidth="1"/>
    <col min="11" max="11" width="11.75390625" style="134" customWidth="1"/>
    <col min="12" max="12" width="7.00390625" style="134" customWidth="1"/>
    <col min="13" max="13" width="1.625" style="134" customWidth="1"/>
    <col min="14" max="14" width="11.625" style="134" customWidth="1"/>
    <col min="15" max="15" width="13.875" style="134" customWidth="1"/>
  </cols>
  <sheetData>
    <row r="1" spans="2:15" ht="33.75" customHeight="1">
      <c r="B1" s="510" t="s">
        <v>324</v>
      </c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</row>
    <row r="2" spans="2:15" ht="12.7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2:15" ht="12.75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2:15" ht="12.75">
      <c r="B4" s="511" t="s">
        <v>210</v>
      </c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</row>
    <row r="5" spans="2:15" ht="12.75">
      <c r="B5" s="512" t="s">
        <v>164</v>
      </c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</row>
    <row r="6" spans="2:15" ht="12.75">
      <c r="B6" s="512" t="s">
        <v>304</v>
      </c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</row>
    <row r="7" spans="2:15" ht="13.5" thickBot="1"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 t="s">
        <v>3</v>
      </c>
    </row>
    <row r="8" spans="2:15" ht="13.5" thickBot="1">
      <c r="B8" s="513"/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13"/>
      <c r="N8" s="513"/>
      <c r="O8" s="225">
        <f>N12</f>
        <v>1382533</v>
      </c>
    </row>
    <row r="9" spans="2:15" ht="12.75">
      <c r="B9" s="89" t="s">
        <v>316</v>
      </c>
      <c r="C9" s="90"/>
      <c r="D9" s="411"/>
      <c r="E9" s="412"/>
      <c r="F9" s="412"/>
      <c r="G9" s="409"/>
      <c r="H9" s="409"/>
      <c r="I9" s="42"/>
      <c r="J9" s="42"/>
      <c r="K9" s="92"/>
      <c r="L9" s="92"/>
      <c r="M9" s="627">
        <v>117826</v>
      </c>
      <c r="N9" s="628"/>
      <c r="O9" s="93"/>
    </row>
    <row r="10" spans="2:15" ht="12.75">
      <c r="B10" s="55" t="s">
        <v>317</v>
      </c>
      <c r="C10" s="57"/>
      <c r="D10" s="426"/>
      <c r="E10" s="427"/>
      <c r="F10" s="427"/>
      <c r="G10" s="415"/>
      <c r="H10" s="415"/>
      <c r="I10" s="52"/>
      <c r="J10" s="52"/>
      <c r="K10" s="341"/>
      <c r="L10" s="341"/>
      <c r="M10" s="357"/>
      <c r="N10" s="358"/>
      <c r="O10" s="94"/>
    </row>
    <row r="11" spans="2:15" ht="12.75">
      <c r="B11" s="51" t="s">
        <v>318</v>
      </c>
      <c r="C11" s="52"/>
      <c r="D11" s="429"/>
      <c r="E11" s="429"/>
      <c r="F11" s="429"/>
      <c r="G11" s="410"/>
      <c r="H11" s="410"/>
      <c r="I11" s="57"/>
      <c r="J11" s="57"/>
      <c r="K11" s="68"/>
      <c r="L11" s="64"/>
      <c r="M11" s="508">
        <v>1264707</v>
      </c>
      <c r="N11" s="509"/>
      <c r="O11" s="94"/>
    </row>
    <row r="12" spans="2:15" ht="13.5" thickBot="1">
      <c r="B12" s="95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342">
        <f>M11+M9</f>
        <v>1382533</v>
      </c>
      <c r="O12" s="98"/>
    </row>
    <row r="13" spans="2:15" ht="12.75"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435"/>
      <c r="O13" s="52"/>
    </row>
    <row r="14" spans="2:15" ht="12.75">
      <c r="B14" s="643" t="s">
        <v>10</v>
      </c>
      <c r="C14" s="643"/>
      <c r="D14" s="643"/>
      <c r="E14" s="643"/>
      <c r="F14" s="643"/>
      <c r="G14" s="643"/>
      <c r="H14" s="643"/>
      <c r="I14" s="643"/>
      <c r="J14" s="643"/>
      <c r="K14" s="643"/>
      <c r="L14" s="643"/>
      <c r="M14" s="643"/>
      <c r="N14" s="643"/>
      <c r="O14" s="643"/>
    </row>
    <row r="15" spans="2:15" ht="12.75">
      <c r="B15" s="643" t="s">
        <v>11</v>
      </c>
      <c r="C15" s="643"/>
      <c r="D15" s="643"/>
      <c r="E15" s="643"/>
      <c r="F15" s="643"/>
      <c r="G15" s="643"/>
      <c r="H15" s="643"/>
      <c r="I15" s="643"/>
      <c r="J15" s="643"/>
      <c r="K15" s="643"/>
      <c r="L15" s="643"/>
      <c r="M15" s="643"/>
      <c r="N15" s="643"/>
      <c r="O15" s="643"/>
    </row>
    <row r="16" spans="2:15" ht="12.75">
      <c r="B16" s="643" t="s">
        <v>304</v>
      </c>
      <c r="C16" s="643"/>
      <c r="D16" s="643"/>
      <c r="E16" s="643"/>
      <c r="F16" s="643"/>
      <c r="G16" s="643"/>
      <c r="H16" s="643"/>
      <c r="I16" s="643"/>
      <c r="J16" s="643"/>
      <c r="K16" s="643"/>
      <c r="L16" s="643"/>
      <c r="M16" s="643"/>
      <c r="N16" s="643"/>
      <c r="O16" s="643"/>
    </row>
    <row r="17" spans="2:15" ht="13.5" thickBot="1"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435"/>
      <c r="O17" s="78" t="s">
        <v>3</v>
      </c>
    </row>
    <row r="18" spans="2:15" ht="13.5" thickBot="1">
      <c r="B18" s="513"/>
      <c r="C18" s="513"/>
      <c r="D18" s="513"/>
      <c r="E18" s="513"/>
      <c r="F18" s="513"/>
      <c r="G18" s="513"/>
      <c r="H18" s="513"/>
      <c r="I18" s="513"/>
      <c r="J18" s="513"/>
      <c r="K18" s="513"/>
      <c r="L18" s="513"/>
      <c r="M18" s="513"/>
      <c r="N18" s="513"/>
      <c r="O18" s="225">
        <f>N33</f>
        <v>1264707</v>
      </c>
    </row>
    <row r="19" spans="2:15" ht="12.75">
      <c r="B19" s="89" t="s">
        <v>317</v>
      </c>
      <c r="C19" s="90"/>
      <c r="D19" s="411"/>
      <c r="E19" s="412"/>
      <c r="F19" s="412"/>
      <c r="G19" s="409"/>
      <c r="H19" s="409"/>
      <c r="I19" s="42"/>
      <c r="J19" s="42"/>
      <c r="K19" s="92"/>
      <c r="L19" s="92"/>
      <c r="M19" s="433"/>
      <c r="N19" s="436"/>
      <c r="O19" s="43"/>
    </row>
    <row r="20" spans="2:15" ht="12.75">
      <c r="B20" s="51" t="s">
        <v>328</v>
      </c>
      <c r="C20" s="52"/>
      <c r="D20" s="429"/>
      <c r="E20" s="429"/>
      <c r="F20" s="429"/>
      <c r="G20" s="410"/>
      <c r="H20" s="410"/>
      <c r="I20" s="57"/>
      <c r="J20" s="57"/>
      <c r="K20" s="68"/>
      <c r="L20" s="64"/>
      <c r="M20" s="644">
        <v>1264707</v>
      </c>
      <c r="N20" s="645"/>
      <c r="O20" s="380"/>
    </row>
    <row r="21" spans="2:15" ht="12.75">
      <c r="B21" s="51" t="s">
        <v>317</v>
      </c>
      <c r="C21" s="52"/>
      <c r="D21" s="437"/>
      <c r="E21" s="437"/>
      <c r="F21" s="437"/>
      <c r="G21" s="415"/>
      <c r="H21" s="415"/>
      <c r="I21" s="52"/>
      <c r="J21" s="52"/>
      <c r="K21" s="341"/>
      <c r="L21" s="438"/>
      <c r="M21" s="439"/>
      <c r="N21" s="440"/>
      <c r="O21" s="380"/>
    </row>
    <row r="22" spans="2:15" ht="12.75">
      <c r="B22" s="51" t="s">
        <v>329</v>
      </c>
      <c r="C22" s="52"/>
      <c r="D22" s="437"/>
      <c r="E22" s="437"/>
      <c r="F22" s="437"/>
      <c r="G22" s="415"/>
      <c r="H22" s="415"/>
      <c r="I22" s="52"/>
      <c r="J22" s="52"/>
      <c r="K22" s="341"/>
      <c r="L22" s="438"/>
      <c r="M22" s="439"/>
      <c r="N22" s="440"/>
      <c r="O22" s="380"/>
    </row>
    <row r="23" spans="2:15" ht="12.75">
      <c r="B23" s="51" t="s">
        <v>317</v>
      </c>
      <c r="C23" s="52"/>
      <c r="D23" s="437"/>
      <c r="E23" s="437"/>
      <c r="F23" s="437"/>
      <c r="G23" s="415"/>
      <c r="H23" s="415"/>
      <c r="I23" s="52"/>
      <c r="J23" s="52"/>
      <c r="K23" s="341"/>
      <c r="L23" s="438"/>
      <c r="M23" s="439"/>
      <c r="N23" s="440"/>
      <c r="O23" s="380"/>
    </row>
    <row r="24" spans="2:15" ht="12.75">
      <c r="B24" s="51" t="s">
        <v>330</v>
      </c>
      <c r="C24" s="52"/>
      <c r="D24" s="437"/>
      <c r="E24" s="437"/>
      <c r="F24" s="437"/>
      <c r="G24" s="415"/>
      <c r="H24" s="415"/>
      <c r="I24" s="52"/>
      <c r="J24" s="52"/>
      <c r="K24" s="341"/>
      <c r="L24" s="438"/>
      <c r="M24" s="439"/>
      <c r="N24" s="440"/>
      <c r="O24" s="380"/>
    </row>
    <row r="25" spans="2:15" ht="12.75">
      <c r="B25" s="51" t="s">
        <v>317</v>
      </c>
      <c r="C25" s="52"/>
      <c r="D25" s="437"/>
      <c r="E25" s="437"/>
      <c r="F25" s="437"/>
      <c r="G25" s="415"/>
      <c r="H25" s="415"/>
      <c r="I25" s="52"/>
      <c r="J25" s="52"/>
      <c r="K25" s="341"/>
      <c r="L25" s="438"/>
      <c r="M25" s="439"/>
      <c r="N25" s="440"/>
      <c r="O25" s="380"/>
    </row>
    <row r="26" spans="2:15" ht="12.75">
      <c r="B26" s="51" t="s">
        <v>331</v>
      </c>
      <c r="C26" s="52"/>
      <c r="D26" s="437"/>
      <c r="E26" s="437"/>
      <c r="F26" s="437"/>
      <c r="G26" s="415"/>
      <c r="H26" s="415"/>
      <c r="I26" s="52"/>
      <c r="J26" s="52"/>
      <c r="K26" s="341"/>
      <c r="L26" s="438"/>
      <c r="M26" s="439"/>
      <c r="N26" s="440"/>
      <c r="O26" s="380"/>
    </row>
    <row r="27" spans="2:15" ht="12.75">
      <c r="B27" s="51" t="s">
        <v>317</v>
      </c>
      <c r="C27" s="52"/>
      <c r="D27" s="437"/>
      <c r="E27" s="437"/>
      <c r="F27" s="437"/>
      <c r="G27" s="415"/>
      <c r="H27" s="415"/>
      <c r="I27" s="52"/>
      <c r="J27" s="52"/>
      <c r="K27" s="341"/>
      <c r="L27" s="438"/>
      <c r="M27" s="439"/>
      <c r="N27" s="440"/>
      <c r="O27" s="380"/>
    </row>
    <row r="28" spans="2:15" ht="12.75">
      <c r="B28" s="51" t="s">
        <v>332</v>
      </c>
      <c r="C28" s="52"/>
      <c r="D28" s="437"/>
      <c r="E28" s="437"/>
      <c r="F28" s="437"/>
      <c r="G28" s="415"/>
      <c r="H28" s="415"/>
      <c r="I28" s="52"/>
      <c r="J28" s="52"/>
      <c r="K28" s="341"/>
      <c r="L28" s="438"/>
      <c r="M28" s="439"/>
      <c r="N28" s="440"/>
      <c r="O28" s="380"/>
    </row>
    <row r="29" spans="2:15" ht="12.75">
      <c r="B29" s="51" t="s">
        <v>317</v>
      </c>
      <c r="C29" s="52"/>
      <c r="D29" s="437"/>
      <c r="E29" s="437"/>
      <c r="F29" s="437"/>
      <c r="G29" s="415"/>
      <c r="H29" s="415"/>
      <c r="I29" s="52"/>
      <c r="J29" s="52"/>
      <c r="K29" s="341"/>
      <c r="L29" s="438"/>
      <c r="M29" s="439"/>
      <c r="N29" s="440"/>
      <c r="O29" s="380"/>
    </row>
    <row r="30" spans="2:15" ht="12.75">
      <c r="B30" s="51" t="s">
        <v>333</v>
      </c>
      <c r="C30" s="52"/>
      <c r="D30" s="437"/>
      <c r="E30" s="437"/>
      <c r="F30" s="437"/>
      <c r="G30" s="415"/>
      <c r="H30" s="415"/>
      <c r="I30" s="52"/>
      <c r="J30" s="52"/>
      <c r="K30" s="341"/>
      <c r="L30" s="438"/>
      <c r="M30" s="439"/>
      <c r="N30" s="440"/>
      <c r="O30" s="380"/>
    </row>
    <row r="31" spans="2:15" ht="12.75">
      <c r="B31" s="51" t="s">
        <v>317</v>
      </c>
      <c r="C31" s="52"/>
      <c r="D31" s="437"/>
      <c r="E31" s="437"/>
      <c r="F31" s="437"/>
      <c r="G31" s="415"/>
      <c r="H31" s="415"/>
      <c r="I31" s="52"/>
      <c r="J31" s="52"/>
      <c r="K31" s="341"/>
      <c r="L31" s="438"/>
      <c r="M31" s="439"/>
      <c r="N31" s="440"/>
      <c r="O31" s="380"/>
    </row>
    <row r="32" spans="2:15" ht="12.75">
      <c r="B32" s="441" t="s">
        <v>334</v>
      </c>
      <c r="C32" s="442"/>
      <c r="D32" s="442"/>
      <c r="E32" s="442"/>
      <c r="F32" s="442"/>
      <c r="G32" s="442"/>
      <c r="H32" s="442"/>
      <c r="I32" s="442"/>
      <c r="J32" s="442"/>
      <c r="K32" s="442"/>
      <c r="L32" s="442"/>
      <c r="M32" s="442"/>
      <c r="N32" s="443"/>
      <c r="O32" s="380"/>
    </row>
    <row r="33" spans="2:15" ht="13.5" thickBot="1">
      <c r="B33" s="95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434">
        <f>M20</f>
        <v>1264707</v>
      </c>
      <c r="O33" s="381"/>
    </row>
    <row r="34" spans="2:15" ht="12.7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435"/>
      <c r="O34" s="52"/>
    </row>
    <row r="35" spans="2:15" ht="12.75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435"/>
      <c r="O35" s="52"/>
    </row>
    <row r="36" spans="2:15" ht="12.75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</row>
    <row r="37" spans="2:15" ht="12.75">
      <c r="B37" s="62"/>
      <c r="C37" s="62"/>
      <c r="D37" s="62"/>
      <c r="E37" s="62"/>
      <c r="F37" s="62"/>
      <c r="G37" s="62"/>
      <c r="H37" s="62"/>
      <c r="I37" s="52"/>
      <c r="J37" s="52"/>
      <c r="K37" s="52"/>
      <c r="L37" s="52"/>
      <c r="M37" s="52"/>
      <c r="N37" s="52"/>
      <c r="O37" s="52"/>
    </row>
    <row r="38" spans="2:15" ht="12.75">
      <c r="B38" s="544" t="s">
        <v>42</v>
      </c>
      <c r="C38" s="544"/>
      <c r="D38" s="84" t="s">
        <v>43</v>
      </c>
      <c r="E38" s="545"/>
      <c r="F38" s="545"/>
      <c r="G38" s="545"/>
      <c r="H38" s="545"/>
      <c r="I38" s="5"/>
      <c r="J38" s="5"/>
      <c r="K38" s="6" t="s">
        <v>12</v>
      </c>
      <c r="L38" s="6"/>
      <c r="M38" s="6"/>
      <c r="N38" s="6"/>
      <c r="O38" s="6"/>
    </row>
    <row r="39" spans="2:15" ht="12.75">
      <c r="B39" s="7"/>
      <c r="C39" s="7"/>
      <c r="D39" s="7"/>
      <c r="E39" s="5"/>
      <c r="F39" s="5"/>
      <c r="G39" s="5"/>
      <c r="H39" s="5"/>
      <c r="I39" s="5"/>
      <c r="J39" s="5"/>
      <c r="K39" s="5" t="s">
        <v>5</v>
      </c>
      <c r="L39" s="6"/>
      <c r="M39" s="6"/>
      <c r="N39" s="6"/>
      <c r="O39" s="6"/>
    </row>
    <row r="40" spans="2:15" ht="12.75">
      <c r="B40" s="7"/>
      <c r="C40" s="7"/>
      <c r="D40" s="7"/>
      <c r="E40" s="7"/>
      <c r="F40" s="7"/>
      <c r="G40" s="7"/>
      <c r="H40" s="7"/>
      <c r="I40" s="7"/>
      <c r="J40" s="5"/>
      <c r="K40" s="5"/>
      <c r="L40" s="6"/>
      <c r="M40" s="6"/>
      <c r="N40" s="6"/>
      <c r="O40" s="6"/>
    </row>
    <row r="41" spans="2:15" ht="12.75">
      <c r="B41" s="544" t="s">
        <v>44</v>
      </c>
      <c r="C41" s="544"/>
      <c r="D41" s="84" t="s">
        <v>43</v>
      </c>
      <c r="E41" s="545"/>
      <c r="F41" s="545"/>
      <c r="G41" s="545"/>
      <c r="H41" s="545"/>
      <c r="I41" s="5"/>
      <c r="J41" s="5"/>
      <c r="K41" s="5" t="s">
        <v>289</v>
      </c>
      <c r="L41" s="6"/>
      <c r="M41" s="6"/>
      <c r="N41" s="6"/>
      <c r="O41" s="6"/>
    </row>
    <row r="42" spans="2:15" ht="12.75">
      <c r="B42" s="6"/>
      <c r="C42" s="6"/>
      <c r="D42" s="6"/>
      <c r="E42" s="5"/>
      <c r="F42" s="5"/>
      <c r="G42" s="6"/>
      <c r="H42" s="6"/>
      <c r="I42" s="6"/>
      <c r="J42" s="5"/>
      <c r="K42" s="5" t="s">
        <v>5</v>
      </c>
      <c r="L42" s="6"/>
      <c r="M42" s="6"/>
      <c r="N42" s="6"/>
      <c r="O42" s="6"/>
    </row>
    <row r="43" spans="2:15" ht="12.7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</sheetData>
  <sheetProtection/>
  <mergeCells count="16">
    <mergeCell ref="B38:C38"/>
    <mergeCell ref="E38:H38"/>
    <mergeCell ref="B41:C41"/>
    <mergeCell ref="E41:H41"/>
    <mergeCell ref="B1:O1"/>
    <mergeCell ref="B4:O4"/>
    <mergeCell ref="B5:O5"/>
    <mergeCell ref="B6:O6"/>
    <mergeCell ref="B8:N8"/>
    <mergeCell ref="M9:N9"/>
    <mergeCell ref="B14:O14"/>
    <mergeCell ref="B15:O15"/>
    <mergeCell ref="B16:O16"/>
    <mergeCell ref="B18:N18"/>
    <mergeCell ref="M20:N20"/>
    <mergeCell ref="M11:N11"/>
  </mergeCells>
  <printOptions/>
  <pageMargins left="0.7" right="0.7" top="0.75" bottom="0.75" header="0.3" footer="0.3"/>
  <pageSetup horizontalDpi="600" verticalDpi="600" orientation="portrait" paperSize="9" scale="72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PUTNIK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izmailova</dc:creator>
  <cp:keywords/>
  <dc:description/>
  <cp:lastModifiedBy>User</cp:lastModifiedBy>
  <cp:lastPrinted>2016-10-25T06:07:59Z</cp:lastPrinted>
  <dcterms:created xsi:type="dcterms:W3CDTF">2009-02-26T08:32:53Z</dcterms:created>
  <dcterms:modified xsi:type="dcterms:W3CDTF">2016-10-25T06:17:30Z</dcterms:modified>
  <cp:category/>
  <cp:version/>
  <cp:contentType/>
  <cp:contentStatus/>
</cp:coreProperties>
</file>